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pn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media/image10.jpg" ContentType="image/jpeg"/>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codeName="Tento_zošit"/>
  <mc:AlternateContent xmlns:mc="http://schemas.openxmlformats.org/markup-compatibility/2006">
    <mc:Choice Requires="x15">
      <x15ac:absPath xmlns:x15ac="http://schemas.microsoft.com/office/spreadsheetml/2010/11/ac" url="C:\Users\piete\Desktop\Software House\BANDO SWH\Finali\2° fase\"/>
    </mc:Choice>
  </mc:AlternateContent>
  <xr:revisionPtr revIDLastSave="0" documentId="13_ncr:1_{1105128D-7F77-4A0A-847E-A55FBEE9921C}" xr6:coauthVersionLast="46" xr6:coauthVersionMax="46" xr10:uidLastSave="{00000000-0000-0000-0000-000000000000}"/>
  <bookViews>
    <workbookView xWindow="-109" yWindow="-109" windowWidth="26301" windowHeight="14305" tabRatio="928" firstSheet="1" activeTab="3" xr2:uid="{00000000-000D-0000-FFFF-FFFF00000000}"/>
  </bookViews>
  <sheets>
    <sheet name="1 kg GP" sheetId="10" state="hidden" r:id="rId1"/>
    <sheet name="Read me" sheetId="100" r:id="rId2"/>
    <sheet name="Template" sheetId="45" r:id="rId3"/>
    <sheet name="Sede valutazione" sheetId="79" r:id="rId4"/>
    <sheet name="Tipologia GP" sheetId="63" r:id="rId5"/>
    <sheet name="Destino scarto alimentare" sheetId="57" r:id="rId6"/>
    <sheet name="Gas refrigeranti" sheetId="61" r:id="rId7"/>
    <sheet name="Formato di Grana Padano" sheetId="64" r:id="rId8"/>
    <sheet name="Tipologia packaging primario" sheetId="66" r:id="rId9"/>
    <sheet name="Tabella a.d." sheetId="92" r:id="rId10"/>
    <sheet name="Ciambella confezionamento" sheetId="93" r:id="rId11"/>
    <sheet name="Bar ciclo vita" sheetId="97" r:id="rId12"/>
    <sheet name="Allocations" sheetId="12" state="hidden" r:id="rId13"/>
    <sheet name="LCI" sheetId="9" state="hidden" r:id="rId14"/>
  </sheets>
  <externalReferences>
    <externalReference r:id="rId15"/>
  </externalReferences>
  <definedNames>
    <definedName name="_xlnm.Print_Area" localSheetId="2">Template!$D$8:$O$100</definedName>
    <definedName name="Az._Agr._Eredi_Carioni_Francesco" localSheetId="2">Template!#REF!</definedName>
    <definedName name="Az._Agr._Eredi_Carioni_Francesco">#REF!</definedName>
    <definedName name="Aziende" localSheetId="2">Template!#REF!</definedName>
    <definedName name="Aziende">#REF!</definedName>
    <definedName name="CA.BRE" localSheetId="2">Template!#REF!</definedName>
    <definedName name="CA.BRE">#REF!</definedName>
    <definedName name="Cooperativa_Agricola_Latte_Varese" localSheetId="2">Template!#REF!</definedName>
    <definedName name="Cooperativa_Agricola_Latte_Varese">#REF!</definedName>
    <definedName name="Drop_down_list" localSheetId="13">#REF!</definedName>
    <definedName name="GranaPadanoDOP" localSheetId="2">Template!#REF!</definedName>
    <definedName name="GranaPadanoDOP">#REF!</definedName>
    <definedName name="LatteAQ" localSheetId="2">Template!#REF!</definedName>
    <definedName name="LatteAQ">#REF!</definedName>
    <definedName name="Number_of_livestock">'[1]Calcolo_Azienda 1'!$C$3</definedName>
    <definedName name="ProvoloneValpadanaDOP" localSheetId="2">Template!#REF!</definedName>
    <definedName name="ProvoloneValpadanaDOP">#REF!</definedName>
    <definedName name="SalvaCremascoDOP" localSheetId="2">Template!#REF!</definedName>
    <definedName name="SalvaCremascoDOP">#REF!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45" l="1"/>
  <c r="A5" i="45"/>
  <c r="B4" i="93"/>
  <c r="B5" i="93"/>
  <c r="B6" i="93"/>
  <c r="B7" i="93"/>
  <c r="B8" i="93"/>
  <c r="B9" i="93"/>
  <c r="B10" i="93"/>
  <c r="B11" i="93"/>
  <c r="B12" i="93"/>
  <c r="B3" i="93"/>
  <c r="C5" i="92"/>
  <c r="N61" i="45"/>
  <c r="O61" i="45" s="1"/>
  <c r="K47" i="45"/>
  <c r="N28" i="45"/>
  <c r="O28" i="45" s="1"/>
  <c r="N25" i="45"/>
  <c r="O25" i="45" s="1"/>
  <c r="N19" i="45"/>
  <c r="O19" i="45" s="1"/>
  <c r="L16" i="45"/>
  <c r="N8" i="45"/>
  <c r="O8" i="45" s="1"/>
  <c r="A4" i="45"/>
  <c r="L70" i="45"/>
  <c r="M52" i="45"/>
  <c r="M53" i="45"/>
  <c r="L53" i="45"/>
  <c r="L52" i="45"/>
  <c r="L51" i="45"/>
  <c r="M51" i="45"/>
  <c r="M50" i="45"/>
  <c r="L50" i="45"/>
  <c r="M49" i="45"/>
  <c r="L49" i="45"/>
  <c r="L48" i="45"/>
  <c r="K24" i="45"/>
  <c r="C6" i="92" s="1"/>
  <c r="L12" i="45"/>
  <c r="L23" i="45"/>
  <c r="M23" i="45"/>
  <c r="L22" i="45"/>
  <c r="M22" i="45"/>
  <c r="K17" i="45"/>
  <c r="A6" i="45" l="1"/>
  <c r="A8" i="45" s="1"/>
  <c r="A3" i="79"/>
  <c r="A4" i="79"/>
  <c r="A5" i="79"/>
  <c r="A2" i="79"/>
  <c r="K54" i="45"/>
  <c r="N54" i="45" s="1"/>
  <c r="L30" i="45" l="1"/>
  <c r="L36" i="45" l="1"/>
  <c r="C2" i="97" l="1"/>
  <c r="C2" i="93"/>
  <c r="N30" i="45" l="1"/>
  <c r="O30" i="45" l="1"/>
  <c r="E5" i="92" l="1"/>
  <c r="F5" i="92" s="1"/>
  <c r="K44" i="45"/>
  <c r="K40" i="45"/>
  <c r="K37" i="45"/>
  <c r="K34" i="45"/>
  <c r="K31" i="45"/>
  <c r="K46" i="45" l="1"/>
  <c r="C10" i="92" s="1"/>
  <c r="M45" i="45"/>
  <c r="L45" i="45"/>
  <c r="M43" i="45"/>
  <c r="L43" i="45"/>
  <c r="L42" i="45"/>
  <c r="M42" i="45"/>
  <c r="M41" i="45"/>
  <c r="L41" i="45"/>
  <c r="M39" i="45"/>
  <c r="L39" i="45"/>
  <c r="M38" i="45"/>
  <c r="L38" i="45"/>
  <c r="M36" i="45"/>
  <c r="M35" i="45"/>
  <c r="L35" i="45"/>
  <c r="L33" i="45"/>
  <c r="M33" i="45"/>
  <c r="M32" i="45"/>
  <c r="L32" i="45"/>
  <c r="M30" i="45"/>
  <c r="K13" i="45" l="1"/>
  <c r="N14" i="45"/>
  <c r="O14" i="45" s="1"/>
  <c r="K56" i="45" l="1"/>
  <c r="K55" i="45"/>
  <c r="C3" i="79" l="1"/>
  <c r="C4" i="79"/>
  <c r="C5" i="79"/>
  <c r="C2" i="79"/>
  <c r="B4" i="45"/>
  <c r="B6" i="45" s="1"/>
  <c r="B8" i="45" l="1"/>
  <c r="B9" i="45" s="1"/>
  <c r="B10" i="45" s="1"/>
  <c r="B11" i="45" s="1"/>
  <c r="B12" i="45" s="1"/>
  <c r="B13" i="45" s="1"/>
  <c r="B14" i="45" s="1"/>
  <c r="B15" i="45" s="1"/>
  <c r="B16" i="45" s="1"/>
  <c r="B17" i="45" s="1"/>
  <c r="B19" i="45" s="1"/>
  <c r="A9" i="45"/>
  <c r="A10" i="45" s="1"/>
  <c r="A11" i="45" s="1"/>
  <c r="A12" i="45" s="1"/>
  <c r="A13" i="45" s="1"/>
  <c r="A14" i="45" s="1"/>
  <c r="A15" i="45" s="1"/>
  <c r="A16" i="45" s="1"/>
  <c r="A17" i="45" s="1"/>
  <c r="A19" i="45" s="1"/>
  <c r="E4" i="92" l="1"/>
  <c r="F4" i="92" s="1"/>
  <c r="B20" i="45" l="1"/>
  <c r="B21" i="45" s="1"/>
  <c r="B22" i="45" s="1"/>
  <c r="B23" i="45" s="1"/>
  <c r="B24" i="45" s="1"/>
  <c r="B25" i="45" l="1"/>
  <c r="B26" i="45" s="1"/>
  <c r="B27" i="45" s="1"/>
  <c r="B28" i="45" s="1"/>
  <c r="B29" i="45" s="1"/>
  <c r="B30" i="45" s="1"/>
  <c r="B31" i="45" s="1"/>
  <c r="B32" i="45" s="1"/>
  <c r="B33" i="45" s="1"/>
  <c r="B34" i="45" s="1"/>
  <c r="B35" i="45" s="1"/>
  <c r="B36" i="45" s="1"/>
  <c r="B37" i="45" s="1"/>
  <c r="B38" i="45" s="1"/>
  <c r="B39" i="45" s="1"/>
  <c r="B40" i="45" s="1"/>
  <c r="B41" i="45" s="1"/>
  <c r="K10" i="45"/>
  <c r="E2" i="66"/>
  <c r="C2" i="66"/>
  <c r="B42" i="45" l="1"/>
  <c r="B43" i="45" s="1"/>
  <c r="B44" i="45" s="1"/>
  <c r="B45" i="45" s="1"/>
  <c r="B46" i="45" s="1"/>
  <c r="B47" i="45" s="1"/>
  <c r="B48" i="45" s="1"/>
  <c r="B49" i="45" s="1"/>
  <c r="B50" i="45" s="1"/>
  <c r="B51" i="45" s="1"/>
  <c r="B52" i="45" s="1"/>
  <c r="B53" i="45" s="1"/>
  <c r="B54" i="45" s="1"/>
  <c r="B55" i="45" s="1"/>
  <c r="B56" i="45" s="1"/>
  <c r="B57" i="45" s="1"/>
  <c r="B58" i="45" s="1"/>
  <c r="B59" i="45" s="1"/>
  <c r="B60" i="45" s="1"/>
  <c r="B61" i="45" s="1"/>
  <c r="B62" i="45" s="1"/>
  <c r="B63" i="45" s="1"/>
  <c r="B64" i="45" s="1"/>
  <c r="B65" i="45" s="1"/>
  <c r="B66" i="45" s="1"/>
  <c r="B68" i="45" s="1"/>
  <c r="K15" i="45"/>
  <c r="K20" i="45"/>
  <c r="C11" i="92"/>
  <c r="K66" i="45"/>
  <c r="C8" i="92" s="1"/>
  <c r="K27" i="45"/>
  <c r="C7" i="92" s="1"/>
  <c r="M98" i="45"/>
  <c r="L98" i="45"/>
  <c r="M95" i="45"/>
  <c r="L95" i="45"/>
  <c r="M92" i="45"/>
  <c r="L92" i="45"/>
  <c r="M89" i="45"/>
  <c r="L89" i="45"/>
  <c r="M86" i="45"/>
  <c r="L86" i="45"/>
  <c r="M83" i="45"/>
  <c r="L83" i="45"/>
  <c r="M80" i="45"/>
  <c r="L80" i="45"/>
  <c r="M77" i="45"/>
  <c r="L77" i="45"/>
  <c r="M74" i="45"/>
  <c r="L74" i="45"/>
  <c r="N98" i="45"/>
  <c r="O98" i="45" s="1"/>
  <c r="N95" i="45"/>
  <c r="O95" i="45" s="1"/>
  <c r="N92" i="45"/>
  <c r="O92" i="45" s="1"/>
  <c r="N89" i="45"/>
  <c r="O89" i="45" s="1"/>
  <c r="N86" i="45"/>
  <c r="O86" i="45" s="1"/>
  <c r="N83" i="45"/>
  <c r="O83" i="45" s="1"/>
  <c r="N80" i="45"/>
  <c r="O80" i="45" s="1"/>
  <c r="N77" i="45"/>
  <c r="O77" i="45" s="1"/>
  <c r="N74" i="45"/>
  <c r="O74" i="45" s="1"/>
  <c r="N69" i="45"/>
  <c r="O69" i="45" s="1"/>
  <c r="N64" i="45"/>
  <c r="O64" i="45" s="1"/>
  <c r="N58" i="45"/>
  <c r="O58" i="45" s="1"/>
  <c r="N57" i="45"/>
  <c r="O57" i="45" s="1"/>
  <c r="N53" i="45"/>
  <c r="O53" i="45" s="1"/>
  <c r="N52" i="45"/>
  <c r="O52" i="45" s="1"/>
  <c r="N51" i="45"/>
  <c r="O51" i="45" s="1"/>
  <c r="N50" i="45"/>
  <c r="O50" i="45" s="1"/>
  <c r="N49" i="45"/>
  <c r="O49" i="45" s="1"/>
  <c r="N45" i="45"/>
  <c r="O45" i="45" s="1"/>
  <c r="N41" i="45"/>
  <c r="O41" i="45" s="1"/>
  <c r="N38" i="45"/>
  <c r="O38" i="45" s="1"/>
  <c r="N35" i="45"/>
  <c r="O35" i="45" s="1"/>
  <c r="N43" i="45"/>
  <c r="O43" i="45" s="1"/>
  <c r="N42" i="45"/>
  <c r="O42" i="45" s="1"/>
  <c r="N39" i="45"/>
  <c r="O39" i="45" s="1"/>
  <c r="N36" i="45"/>
  <c r="O36" i="45" s="1"/>
  <c r="N33" i="45"/>
  <c r="O33" i="45" s="1"/>
  <c r="N32" i="45"/>
  <c r="O32" i="45" s="1"/>
  <c r="N23" i="45"/>
  <c r="O23" i="45" s="1"/>
  <c r="N12" i="45"/>
  <c r="O12" i="45" s="1"/>
  <c r="N11" i="45"/>
  <c r="O11" i="45" s="1"/>
  <c r="N9" i="45"/>
  <c r="O9" i="45" s="1"/>
  <c r="C3" i="66"/>
  <c r="C4" i="66"/>
  <c r="C5" i="66"/>
  <c r="C3" i="64"/>
  <c r="C4" i="64"/>
  <c r="C5" i="64"/>
  <c r="C6" i="64"/>
  <c r="E4" i="66" s="1"/>
  <c r="C2" i="64"/>
  <c r="C3" i="63"/>
  <c r="C4" i="63"/>
  <c r="C2" i="63"/>
  <c r="E11" i="92" l="1"/>
  <c r="F11" i="92" s="1"/>
  <c r="B69" i="45"/>
  <c r="B70" i="45" s="1"/>
  <c r="B72" i="45" s="1"/>
  <c r="C3" i="57"/>
  <c r="C2" i="57"/>
  <c r="B73" i="45" l="1"/>
  <c r="B74" i="45" s="1"/>
  <c r="B75" i="45" s="1"/>
  <c r="B76" i="45" s="1"/>
  <c r="B77" i="45" s="1"/>
  <c r="B78" i="45" s="1"/>
  <c r="B79" i="45" s="1"/>
  <c r="B80" i="45" s="1"/>
  <c r="B81" i="45" s="1"/>
  <c r="B82" i="45" s="1"/>
  <c r="B83" i="45" s="1"/>
  <c r="B84" i="45" s="1"/>
  <c r="B85" i="45" s="1"/>
  <c r="B86" i="45" s="1"/>
  <c r="B87" i="45" s="1"/>
  <c r="B88" i="45" s="1"/>
  <c r="B89" i="45" s="1"/>
  <c r="B90" i="45" s="1"/>
  <c r="B91" i="45" s="1"/>
  <c r="B92" i="45" s="1"/>
  <c r="B93" i="45" s="1"/>
  <c r="B94" i="45" s="1"/>
  <c r="B95" i="45" s="1"/>
  <c r="B96" i="45" s="1"/>
  <c r="B97" i="45" s="1"/>
  <c r="B98" i="45" s="1"/>
  <c r="B99" i="45" s="1"/>
  <c r="B100" i="45" s="1"/>
  <c r="B102" i="45" s="1"/>
  <c r="B103" i="45" l="1"/>
  <c r="B104" i="45" s="1"/>
  <c r="B105" i="45" s="1"/>
  <c r="L64" i="45" l="1"/>
  <c r="M64" i="45"/>
  <c r="O54" i="45"/>
  <c r="M16" i="45"/>
  <c r="L57" i="45"/>
  <c r="M12" i="45"/>
  <c r="K93" i="45" l="1"/>
  <c r="K96" i="45" s="1"/>
  <c r="K97" i="45" s="1"/>
  <c r="K84" i="45"/>
  <c r="K85" i="45" s="1"/>
  <c r="K75" i="45"/>
  <c r="M70" i="45"/>
  <c r="K78" i="45" l="1"/>
  <c r="K79" i="45" s="1"/>
  <c r="K87" i="45"/>
  <c r="K88" i="45" s="1"/>
  <c r="K76" i="45"/>
  <c r="K94" i="45"/>
  <c r="C2" i="92" l="1"/>
  <c r="M58" i="45"/>
  <c r="L58" i="45"/>
  <c r="M57" i="45"/>
  <c r="M48" i="45"/>
  <c r="K59" i="45"/>
  <c r="C5" i="93" l="1"/>
  <c r="C3" i="93"/>
  <c r="C6" i="93"/>
  <c r="C7" i="93"/>
  <c r="C8" i="93"/>
  <c r="C9" i="93"/>
  <c r="C11" i="93"/>
  <c r="C12" i="93"/>
  <c r="E2" i="92"/>
  <c r="F2" i="92" s="1"/>
  <c r="K60" i="45"/>
  <c r="A20" i="45" l="1"/>
  <c r="A21" i="45" s="1"/>
  <c r="A22" i="45" s="1"/>
  <c r="A23" i="45" s="1"/>
  <c r="A24" i="45" s="1"/>
  <c r="A25" i="45" s="1"/>
  <c r="E10" i="92"/>
  <c r="F10" i="92" s="1"/>
  <c r="A26" i="45" l="1"/>
  <c r="A27" i="45" s="1"/>
  <c r="A28" i="45" s="1"/>
  <c r="A29" i="45" s="1"/>
  <c r="A30" i="45" s="1"/>
  <c r="A31" i="45" s="1"/>
  <c r="A32" i="45" s="1"/>
  <c r="A33" i="45" s="1"/>
  <c r="A34" i="45" s="1"/>
  <c r="A35" i="45" s="1"/>
  <c r="A36" i="45" s="1"/>
  <c r="A37" i="45" s="1"/>
  <c r="A38" i="45" s="1"/>
  <c r="A39" i="45" s="1"/>
  <c r="A40" i="45" s="1"/>
  <c r="A41" i="45" s="1"/>
  <c r="A42" i="45" l="1"/>
  <c r="A43" i="45" s="1"/>
  <c r="A44" i="45" s="1"/>
  <c r="A45" i="45" s="1"/>
  <c r="A46" i="45" s="1"/>
  <c r="A47" i="45" s="1"/>
  <c r="A48" i="45" s="1"/>
  <c r="C3" i="92" l="1"/>
  <c r="C4" i="93" s="1"/>
  <c r="K99" i="45"/>
  <c r="K100" i="45"/>
  <c r="K91" i="45"/>
  <c r="K81" i="45"/>
  <c r="K82" i="45"/>
  <c r="K90" i="45"/>
  <c r="K63" i="45"/>
  <c r="E8" i="92"/>
  <c r="F8" i="92" s="1"/>
  <c r="E7" i="92"/>
  <c r="F7" i="92" s="1"/>
  <c r="E6" i="92"/>
  <c r="F6" i="92" s="1"/>
  <c r="K65" i="45" l="1"/>
  <c r="C9" i="92"/>
  <c r="C10" i="93" s="1"/>
  <c r="A49" i="45"/>
  <c r="A50" i="45" s="1"/>
  <c r="A51" i="45" s="1"/>
  <c r="A52" i="45" s="1"/>
  <c r="A53" i="45" s="1"/>
  <c r="A54" i="45" s="1"/>
  <c r="A55" i="45" s="1"/>
  <c r="E3" i="92"/>
  <c r="F3" i="92" s="1"/>
  <c r="E9" i="92" l="1"/>
  <c r="F9" i="92" s="1"/>
  <c r="A56" i="45"/>
  <c r="A57" i="45" s="1"/>
  <c r="A58" i="45" s="1"/>
  <c r="A59" i="45" s="1"/>
  <c r="A60" i="45" s="1"/>
  <c r="A61" i="45" s="1"/>
  <c r="A62" i="45" s="1"/>
  <c r="A63" i="45" s="1"/>
  <c r="A64" i="45" s="1"/>
  <c r="A65" i="45" s="1"/>
  <c r="A66" i="45" s="1"/>
  <c r="A68" i="45" s="1"/>
  <c r="A69" i="45" l="1"/>
  <c r="A70" i="45" s="1"/>
  <c r="A72" i="45" l="1"/>
  <c r="A73" i="45" l="1"/>
  <c r="A74" i="45" s="1"/>
  <c r="A75" i="45" s="1"/>
  <c r="A76" i="45" s="1"/>
  <c r="A77" i="45" s="1"/>
  <c r="A78" i="45" s="1"/>
  <c r="A79" i="45" s="1"/>
  <c r="A80" i="45" s="1"/>
  <c r="A81" i="45" s="1"/>
  <c r="A82" i="45" s="1"/>
  <c r="A83" i="45" s="1"/>
  <c r="A84" i="45" s="1"/>
  <c r="A85" i="45" s="1"/>
  <c r="A86" i="45" s="1"/>
  <c r="A87" i="45" s="1"/>
  <c r="A88" i="45" s="1"/>
  <c r="A89" i="45" s="1"/>
  <c r="A90" i="45" s="1"/>
  <c r="A91" i="45" s="1"/>
  <c r="A92" i="45" s="1"/>
  <c r="A93" i="45" s="1"/>
  <c r="A94" i="45" s="1"/>
  <c r="A95" i="45" s="1"/>
  <c r="A96" i="45" s="1"/>
  <c r="A97" i="45" s="1"/>
  <c r="A98" i="45" s="1"/>
  <c r="A99" i="45" s="1"/>
  <c r="A100" i="45" s="1"/>
  <c r="A102" i="45" s="1"/>
  <c r="A103" i="45" l="1"/>
  <c r="A104" i="45" s="1"/>
  <c r="A105" i="45" s="1"/>
  <c r="H7" i="10" l="1"/>
  <c r="B50" i="9" l="1"/>
  <c r="B49" i="9"/>
  <c r="B48" i="9"/>
  <c r="B44" i="9"/>
  <c r="B43" i="9"/>
  <c r="D49" i="9"/>
  <c r="D50" i="9"/>
  <c r="D48" i="9"/>
  <c r="D47" i="9"/>
  <c r="B3" i="9" l="1"/>
  <c r="D3" i="9"/>
  <c r="E3" i="9"/>
  <c r="D25" i="9" l="1"/>
  <c r="D77" i="9" s="1"/>
  <c r="D24" i="9"/>
  <c r="D23" i="9"/>
  <c r="D51" i="9" l="1"/>
  <c r="D74" i="9"/>
  <c r="D73" i="9"/>
  <c r="D72" i="9"/>
  <c r="D75" i="9"/>
  <c r="D76" i="9"/>
  <c r="B47" i="9"/>
  <c r="B46" i="9" l="1"/>
  <c r="B45" i="9"/>
  <c r="G8" i="10" l="1"/>
  <c r="G9" i="10"/>
  <c r="G10" i="10"/>
  <c r="G11" i="10"/>
  <c r="G12" i="10"/>
  <c r="G13" i="10"/>
  <c r="G14" i="10"/>
  <c r="G15" i="10"/>
  <c r="G16" i="10"/>
  <c r="F8" i="10"/>
  <c r="F9" i="10"/>
  <c r="F10" i="10"/>
  <c r="F11" i="10"/>
  <c r="F12" i="10"/>
  <c r="F13" i="10"/>
  <c r="F14" i="10"/>
  <c r="F15" i="10"/>
  <c r="F16" i="10"/>
  <c r="G7" i="10"/>
  <c r="F7" i="10"/>
  <c r="H17" i="10"/>
  <c r="C30" i="12"/>
  <c r="F30" i="12" s="1"/>
  <c r="C27" i="12"/>
  <c r="C25" i="12"/>
  <c r="C24" i="12"/>
  <c r="D19" i="12"/>
  <c r="D20" i="12"/>
  <c r="C22" i="12"/>
  <c r="D22" i="12" s="1"/>
  <c r="F22" i="12" s="1"/>
  <c r="C18" i="12"/>
  <c r="D18" i="12" s="1"/>
  <c r="C17" i="12"/>
  <c r="D17" i="12" s="1"/>
  <c r="C16" i="12"/>
  <c r="D16" i="12" s="1"/>
  <c r="C15" i="12"/>
  <c r="D15" i="12" s="1"/>
  <c r="D11" i="12"/>
  <c r="D10" i="12"/>
  <c r="D8" i="12"/>
  <c r="D7" i="12"/>
  <c r="D6" i="12"/>
  <c r="D5" i="12"/>
  <c r="C11" i="12"/>
  <c r="C10" i="12"/>
  <c r="C9" i="12"/>
  <c r="C8" i="12"/>
  <c r="C7" i="12"/>
  <c r="C6" i="12"/>
  <c r="C5" i="12"/>
  <c r="A6" i="9"/>
  <c r="B6" i="9"/>
  <c r="A3" i="9"/>
  <c r="I7" i="10" l="1"/>
  <c r="I13" i="10"/>
  <c r="I9" i="10"/>
  <c r="I15" i="10"/>
  <c r="I16" i="10"/>
  <c r="I8" i="10"/>
  <c r="D25" i="12"/>
  <c r="E10" i="12"/>
  <c r="D27" i="12"/>
  <c r="E5" i="12"/>
  <c r="E8" i="12"/>
  <c r="E7" i="12"/>
  <c r="E11" i="12"/>
  <c r="I12" i="10"/>
  <c r="I11" i="10"/>
  <c r="C12" i="12"/>
  <c r="D24" i="12"/>
  <c r="E6" i="12"/>
  <c r="D9" i="12"/>
  <c r="E9" i="12" s="1"/>
  <c r="C26" i="12"/>
  <c r="C14" i="12"/>
  <c r="C6" i="9"/>
  <c r="I10" i="10"/>
  <c r="I14" i="10"/>
  <c r="G17" i="10" l="1"/>
  <c r="D14" i="12"/>
  <c r="C21" i="12"/>
  <c r="D21" i="12" s="1"/>
  <c r="C28" i="12"/>
  <c r="D28" i="12" s="1"/>
  <c r="E12" i="12"/>
  <c r="F9" i="12" s="1"/>
  <c r="E18" i="12" s="1"/>
  <c r="D26" i="12"/>
  <c r="X17" i="10"/>
  <c r="Z17" i="10"/>
  <c r="E17" i="10"/>
  <c r="M17" i="10"/>
  <c r="AB17" i="10"/>
  <c r="K17" i="10"/>
  <c r="P17" i="10"/>
  <c r="V17" i="10"/>
  <c r="J17" i="10"/>
  <c r="U17" i="10"/>
  <c r="O17" i="10"/>
  <c r="I17" i="10"/>
  <c r="L17" i="10"/>
  <c r="F17" i="10"/>
  <c r="S17" i="10"/>
  <c r="T17" i="10"/>
  <c r="N17" i="10"/>
  <c r="AA17" i="10"/>
  <c r="Y17" i="10"/>
  <c r="R17" i="10"/>
  <c r="Q17" i="10"/>
  <c r="W17" i="10"/>
  <c r="D17" i="10"/>
  <c r="J21" i="10" l="1"/>
  <c r="G21" i="10"/>
  <c r="E21" i="10"/>
  <c r="C29" i="12"/>
  <c r="M21" i="10"/>
  <c r="R21" i="10"/>
  <c r="D29" i="12"/>
  <c r="E28" i="12" s="1"/>
  <c r="K21" i="10"/>
  <c r="P21" i="10"/>
  <c r="T21" i="10"/>
  <c r="F18" i="12"/>
  <c r="F11" i="12"/>
  <c r="E20" i="12" s="1"/>
  <c r="F20" i="12" s="1"/>
  <c r="F10" i="12"/>
  <c r="E19" i="12" s="1"/>
  <c r="F19" i="12" s="1"/>
  <c r="F6" i="12"/>
  <c r="E15" i="12" s="1"/>
  <c r="F15" i="12" s="1"/>
  <c r="F5" i="12"/>
  <c r="F8" i="12"/>
  <c r="E17" i="12" s="1"/>
  <c r="F17" i="12" s="1"/>
  <c r="F7" i="12"/>
  <c r="E16" i="12" s="1"/>
  <c r="F16" i="12" s="1"/>
  <c r="C21" i="10"/>
  <c r="U21" i="10"/>
  <c r="Q21" i="10"/>
  <c r="O21" i="10"/>
  <c r="F21" i="10"/>
  <c r="L21" i="10"/>
  <c r="H21" i="10"/>
  <c r="I21" i="10"/>
  <c r="N21" i="10"/>
  <c r="D21" i="10"/>
  <c r="S21" i="10"/>
  <c r="I5" i="12" l="1"/>
  <c r="D78" i="9" s="1"/>
  <c r="D41" i="9"/>
  <c r="D37" i="9"/>
  <c r="D58" i="9"/>
  <c r="D40" i="9"/>
  <c r="D36" i="9"/>
  <c r="D39" i="9"/>
  <c r="D34" i="9"/>
  <c r="D42" i="9"/>
  <c r="D38" i="9"/>
  <c r="D28" i="9"/>
  <c r="D26" i="9"/>
  <c r="D22" i="9"/>
  <c r="D46" i="9" s="1"/>
  <c r="D27" i="9"/>
  <c r="D13" i="9"/>
  <c r="D12" i="9"/>
  <c r="D14" i="9"/>
  <c r="E24" i="12"/>
  <c r="F24" i="12" s="1"/>
  <c r="E25" i="12"/>
  <c r="F25" i="12" s="1"/>
  <c r="E27" i="12"/>
  <c r="F27" i="12" s="1"/>
  <c r="E26" i="12"/>
  <c r="F26" i="12" s="1"/>
  <c r="F28" i="12"/>
  <c r="F12" i="12"/>
  <c r="E14" i="12"/>
  <c r="D20" i="9" l="1"/>
  <c r="D19" i="9"/>
  <c r="E29" i="12"/>
  <c r="F29" i="12"/>
  <c r="E21" i="12"/>
  <c r="F14" i="12"/>
  <c r="F21" i="12" l="1"/>
  <c r="D21" i="9"/>
  <c r="D45" i="9" s="1"/>
  <c r="D44" i="9"/>
  <c r="D43" i="9"/>
  <c r="C5"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Luca Gianelli</author>
  </authors>
  <commentList>
    <comment ref="N1" authorId="0" shapeId="0" xr:uid="{502EC0B1-1578-4F13-89B0-6DAF31038DE6}">
      <text>
        <r>
          <rPr>
            <b/>
            <sz val="9"/>
            <color indexed="81"/>
            <rFont val="Tahoma"/>
            <family val="2"/>
          </rPr>
          <t>Luca Gianelli:</t>
        </r>
        <r>
          <rPr>
            <sz val="9"/>
            <color indexed="81"/>
            <rFont val="Tahoma"/>
            <family val="2"/>
          </rPr>
          <t xml:space="preserve">
0=No information panel is planned to be shown, the application flow acts as normal;
1= The user will see a panel info with a simple information icon, filled by the Info Field content. Once the text has been shown, it will never be displayed again. The application flow acts as normal;
2=The user will see a panel info with a danger icon, filled by the Info Field content. The Element will be highlighted in red color, with the same text reported in pedice. The application flow acts as normal, but the configuration could be not completed;
3=The user will see a panel info with a cross red icon, filled by the Info Field content. The application flow stops.</t>
        </r>
      </text>
    </comment>
    <comment ref="D10" authorId="0" shapeId="0" xr:uid="{9E3686F6-E0BE-4157-B0EC-2D4BA33C9325}">
      <text>
        <r>
          <rPr>
            <b/>
            <sz val="9"/>
            <color indexed="81"/>
            <rFont val="Tahoma"/>
            <family val="2"/>
          </rPr>
          <t>Luca Gianelli:</t>
        </r>
        <r>
          <rPr>
            <sz val="9"/>
            <color indexed="81"/>
            <rFont val="Tahoma"/>
            <family val="2"/>
          </rPr>
          <t xml:space="preserve">
Formaggio totale confezionato</t>
        </r>
      </text>
    </comment>
    <comment ref="D13" authorId="0" shapeId="0" xr:uid="{3D0FCBD2-5363-4B5A-BEF1-CA9E1E52BEEA}">
      <text>
        <r>
          <rPr>
            <b/>
            <sz val="9"/>
            <color indexed="81"/>
            <rFont val="Tahoma"/>
            <family val="2"/>
          </rPr>
          <t>Luca Gianelli:</t>
        </r>
        <r>
          <rPr>
            <sz val="9"/>
            <color indexed="81"/>
            <rFont val="Tahoma"/>
            <family val="2"/>
          </rPr>
          <t xml:space="preserve">
Formaggio totale confezionato con gas alimentare protettivo</t>
        </r>
      </text>
    </comment>
    <comment ref="D15" authorId="0" shapeId="0" xr:uid="{81BBC7D0-4272-49AE-9080-B6A8C5FC9600}">
      <text>
        <r>
          <rPr>
            <b/>
            <sz val="9"/>
            <color indexed="81"/>
            <rFont val="Tahoma"/>
            <family val="2"/>
          </rPr>
          <t>Luca Gianelli:</t>
        </r>
        <r>
          <rPr>
            <sz val="9"/>
            <color indexed="81"/>
            <rFont val="Tahoma"/>
            <family val="2"/>
          </rPr>
          <t xml:space="preserve">
Scarto alimentare rispetto a 1 kg di GP</t>
        </r>
      </text>
    </comment>
    <comment ref="D17" authorId="0" shapeId="0" xr:uid="{4FB99389-5207-42B2-BD6C-B9D3906D8310}">
      <text>
        <r>
          <rPr>
            <b/>
            <sz val="9"/>
            <color indexed="81"/>
            <rFont val="Tahoma"/>
            <family val="2"/>
          </rPr>
          <t>Luca Gianelli:</t>
        </r>
        <r>
          <rPr>
            <sz val="9"/>
            <color indexed="81"/>
            <rFont val="Tahoma"/>
            <family val="2"/>
          </rPr>
          <t xml:space="preserve">
Fattore di allocazione del confezionamento provocato dallo scarto alimentare</t>
        </r>
      </text>
    </comment>
    <comment ref="D20" authorId="0" shapeId="0" xr:uid="{E0F9851C-7E9F-4A45-B234-1F5898CDB4B1}">
      <text>
        <r>
          <rPr>
            <b/>
            <sz val="9"/>
            <color indexed="81"/>
            <rFont val="Tahoma"/>
            <family val="2"/>
          </rPr>
          <t>Luca Gianelli:</t>
        </r>
        <r>
          <rPr>
            <sz val="9"/>
            <color indexed="81"/>
            <rFont val="Tahoma"/>
            <family val="2"/>
          </rPr>
          <t xml:space="preserve">
Consumo elettrico da rete impiegato per il confezionamento riferito a 1 kg GP</t>
        </r>
      </text>
    </comment>
    <comment ref="D24" authorId="0" shapeId="0" xr:uid="{33DB8E75-B69E-4A47-99BC-5BCBA8C0CE32}">
      <text>
        <r>
          <rPr>
            <b/>
            <sz val="9"/>
            <color indexed="81"/>
            <rFont val="Tahoma"/>
            <family val="2"/>
          </rPr>
          <t>Luca Gianelli:</t>
        </r>
        <r>
          <rPr>
            <sz val="9"/>
            <color indexed="81"/>
            <rFont val="Tahoma"/>
            <family val="2"/>
          </rPr>
          <t xml:space="preserve">
Energia autoconsumata nel confezionamento prodotta da pannello fotovoltaico per 1 kg GP</t>
        </r>
      </text>
    </comment>
    <comment ref="D26" authorId="0" shapeId="0" xr:uid="{4A3FAC37-A42B-4B91-BA35-1E54F7C5026F}">
      <text>
        <r>
          <rPr>
            <b/>
            <sz val="9"/>
            <color indexed="81"/>
            <rFont val="Tahoma"/>
            <family val="2"/>
          </rPr>
          <t>Luca Gianelli:</t>
        </r>
        <r>
          <rPr>
            <sz val="9"/>
            <color indexed="81"/>
            <rFont val="Tahoma"/>
            <family val="2"/>
          </rPr>
          <t xml:space="preserve">
Fattore di conversione metano da m3 a MJ.</t>
        </r>
      </text>
    </comment>
    <comment ref="D27" authorId="0" shapeId="0" xr:uid="{72DD45CE-9DA8-4D09-B0C5-89CF046DB30D}">
      <text>
        <r>
          <rPr>
            <b/>
            <sz val="9"/>
            <color indexed="81"/>
            <rFont val="Tahoma"/>
            <family val="2"/>
          </rPr>
          <t>Luca Gianelli:</t>
        </r>
        <r>
          <rPr>
            <sz val="9"/>
            <color indexed="81"/>
            <rFont val="Tahoma"/>
            <family val="2"/>
          </rPr>
          <t xml:space="preserve">
Calore generato dal metano impiegato per il confezionamento per 1 kg GP</t>
        </r>
      </text>
    </comment>
    <comment ref="D31" authorId="0" shapeId="0" xr:uid="{0B010F4C-B3F4-417C-A831-46BB8302D4D3}">
      <text>
        <r>
          <rPr>
            <b/>
            <sz val="9"/>
            <color indexed="81"/>
            <rFont val="Tahoma"/>
            <family val="2"/>
          </rPr>
          <t>Luca Gianelli:</t>
        </r>
        <r>
          <rPr>
            <sz val="9"/>
            <color indexed="81"/>
            <rFont val="Tahoma"/>
            <family val="2"/>
          </rPr>
          <t xml:space="preserve">
Quantità ricaricata all'anno di R404a per 1 kg GP</t>
        </r>
      </text>
    </comment>
    <comment ref="D34" authorId="0" shapeId="0" xr:uid="{94A19CD7-DA80-4FE3-B4E8-5E05C3E6A69D}">
      <text>
        <r>
          <rPr>
            <b/>
            <sz val="9"/>
            <color indexed="81"/>
            <rFont val="Tahoma"/>
            <family val="2"/>
          </rPr>
          <t>Luca Gianelli:</t>
        </r>
        <r>
          <rPr>
            <sz val="9"/>
            <color indexed="81"/>
            <rFont val="Tahoma"/>
            <family val="2"/>
          </rPr>
          <t xml:space="preserve">
Quantità ricaricata all'anno di R134a per 1 kg GP</t>
        </r>
      </text>
    </comment>
    <comment ref="D37" authorId="0" shapeId="0" xr:uid="{A7F5EB4E-5AAD-443A-9141-DBA733323A3D}">
      <text>
        <r>
          <rPr>
            <b/>
            <sz val="9"/>
            <color indexed="81"/>
            <rFont val="Tahoma"/>
            <family val="2"/>
          </rPr>
          <t>Luca Gianelli:</t>
        </r>
        <r>
          <rPr>
            <sz val="9"/>
            <color indexed="81"/>
            <rFont val="Tahoma"/>
            <family val="2"/>
          </rPr>
          <t xml:space="preserve">
Quantità ricaricata all'anno di R143a per 1 kg GP</t>
        </r>
      </text>
    </comment>
    <comment ref="D40" authorId="0" shapeId="0" xr:uid="{27027D40-C067-4F84-8EA0-BFB4CF80C704}">
      <text>
        <r>
          <rPr>
            <b/>
            <sz val="9"/>
            <color indexed="81"/>
            <rFont val="Tahoma"/>
            <family val="2"/>
          </rPr>
          <t>Luca Gianelli:</t>
        </r>
        <r>
          <rPr>
            <sz val="9"/>
            <color indexed="81"/>
            <rFont val="Tahoma"/>
            <family val="2"/>
          </rPr>
          <t xml:space="preserve">
Quantità ricaricata all'anno di R125 per 1 kg GP</t>
        </r>
      </text>
    </comment>
    <comment ref="D44" authorId="0" shapeId="0" xr:uid="{9B463B7C-C4ED-48CF-A611-8142FD040B92}">
      <text>
        <r>
          <rPr>
            <b/>
            <sz val="9"/>
            <color indexed="81"/>
            <rFont val="Tahoma"/>
            <family val="2"/>
          </rPr>
          <t>Luca Gianelli:</t>
        </r>
        <r>
          <rPr>
            <sz val="9"/>
            <color indexed="81"/>
            <rFont val="Tahoma"/>
            <family val="2"/>
          </rPr>
          <t xml:space="preserve">
Quantità ricaricata all'anno di altro gas refrigerante per 1 kg GP</t>
        </r>
      </text>
    </comment>
    <comment ref="D46" authorId="0" shapeId="0" xr:uid="{BD7A676A-6A3C-49FA-9FC5-E63EFC0198CC}">
      <text>
        <r>
          <rPr>
            <b/>
            <sz val="9"/>
            <color indexed="81"/>
            <rFont val="Tahoma"/>
            <family val="2"/>
          </rPr>
          <t>Luca Gianelli:</t>
        </r>
        <r>
          <rPr>
            <sz val="9"/>
            <color indexed="81"/>
            <rFont val="Tahoma"/>
            <family val="2"/>
          </rPr>
          <t xml:space="preserve">
Quantità ricaricata all'anno di tutti i gas refrigeranti per 1 kg GP</t>
        </r>
      </text>
    </comment>
    <comment ref="D47" authorId="0" shapeId="0" xr:uid="{D1602077-A1AC-40C6-B380-F480CFAA674A}">
      <text>
        <r>
          <rPr>
            <b/>
            <sz val="9"/>
            <color indexed="81"/>
            <rFont val="Tahoma"/>
            <family val="2"/>
          </rPr>
          <t>Luca Gianelli:</t>
        </r>
        <r>
          <rPr>
            <sz val="9"/>
            <color indexed="81"/>
            <rFont val="Tahoma"/>
            <family val="2"/>
          </rPr>
          <t xml:space="preserve">
Distanza del fornitore medio fra tutti i gas refrigeranti</t>
        </r>
      </text>
    </comment>
    <comment ref="D54" authorId="0" shapeId="0" xr:uid="{B6612E68-AA80-4ECB-832F-9EE4FE99B1C5}">
      <text>
        <r>
          <rPr>
            <b/>
            <sz val="9"/>
            <color indexed="81"/>
            <rFont val="Tahoma"/>
            <family val="2"/>
          </rPr>
          <t>Luca Gianelli:</t>
        </r>
        <r>
          <rPr>
            <sz val="9"/>
            <color indexed="81"/>
            <rFont val="Tahoma"/>
            <family val="2"/>
          </rPr>
          <t xml:space="preserve">
Somma delle percentuali di composizione del totale</t>
        </r>
      </text>
    </comment>
    <comment ref="D55" authorId="0" shapeId="0" xr:uid="{A199527C-BD44-4A5D-AD4F-010115073699}">
      <text>
        <r>
          <rPr>
            <b/>
            <sz val="9"/>
            <color indexed="81"/>
            <rFont val="Tahoma"/>
            <family val="2"/>
          </rPr>
          <t>Luca Gianelli:</t>
        </r>
        <r>
          <rPr>
            <sz val="9"/>
            <color indexed="81"/>
            <rFont val="Tahoma"/>
            <family val="2"/>
          </rPr>
          <t xml:space="preserve">
Quantità di gas alimentare protettivo (CO2) impiegata per 1 kg GP</t>
        </r>
      </text>
    </comment>
    <comment ref="D56" authorId="0" shapeId="0" xr:uid="{A91844FD-3480-4D0F-935B-2D2E9B30A962}">
      <text>
        <r>
          <rPr>
            <b/>
            <sz val="9"/>
            <color indexed="81"/>
            <rFont val="Tahoma"/>
            <family val="2"/>
          </rPr>
          <t>Luca Gianelli:</t>
        </r>
        <r>
          <rPr>
            <sz val="9"/>
            <color indexed="81"/>
            <rFont val="Tahoma"/>
            <family val="2"/>
          </rPr>
          <t xml:space="preserve">
Quantità di gas alimentare protettivo (N2) impiegata per 1 kg GP</t>
        </r>
      </text>
    </comment>
    <comment ref="D59" authorId="0" shapeId="0" xr:uid="{3E6AD9EB-640D-4D72-8967-7D8B2420C041}">
      <text>
        <r>
          <rPr>
            <b/>
            <sz val="9"/>
            <color indexed="81"/>
            <rFont val="Tahoma"/>
            <family val="2"/>
          </rPr>
          <t>Luca Gianelli:</t>
        </r>
        <r>
          <rPr>
            <sz val="9"/>
            <color indexed="81"/>
            <rFont val="Tahoma"/>
            <family val="2"/>
          </rPr>
          <t xml:space="preserve">
Trasporto CO2 per 1 kg GP</t>
        </r>
      </text>
    </comment>
    <comment ref="D60" authorId="0" shapeId="0" xr:uid="{6FE3C63D-6D56-4A38-9CC2-F55F64437916}">
      <text>
        <r>
          <rPr>
            <b/>
            <sz val="9"/>
            <color indexed="81"/>
            <rFont val="Tahoma"/>
            <family val="2"/>
          </rPr>
          <t>Luca Gianelli:</t>
        </r>
        <r>
          <rPr>
            <sz val="9"/>
            <color indexed="81"/>
            <rFont val="Tahoma"/>
            <family val="2"/>
          </rPr>
          <t xml:space="preserve">
Trasporto N2 per 1 kg GP</t>
        </r>
      </text>
    </comment>
    <comment ref="D63" authorId="0" shapeId="0" xr:uid="{7041822D-505A-4A14-9AF8-5F84FBD57C72}">
      <text>
        <r>
          <rPr>
            <b/>
            <sz val="9"/>
            <color indexed="81"/>
            <rFont val="Tahoma"/>
            <family val="2"/>
          </rPr>
          <t>Luca Gianelli:</t>
        </r>
        <r>
          <rPr>
            <sz val="9"/>
            <color indexed="81"/>
            <rFont val="Tahoma"/>
            <family val="2"/>
          </rPr>
          <t xml:space="preserve">
Quantità di principio attivo dei detergenti utilizzato per 1 kg GP</t>
        </r>
      </text>
    </comment>
    <comment ref="D65" authorId="0" shapeId="0" xr:uid="{5D4C5BBB-5F16-420F-8FD3-D81A7C3FF738}">
      <text>
        <r>
          <rPr>
            <b/>
            <sz val="9"/>
            <color indexed="81"/>
            <rFont val="Tahoma"/>
            <family val="2"/>
          </rPr>
          <t>Luca Gianelli:</t>
        </r>
        <r>
          <rPr>
            <sz val="9"/>
            <color indexed="81"/>
            <rFont val="Tahoma"/>
            <family val="2"/>
          </rPr>
          <t xml:space="preserve">
Trasporto dei detergenti al confezionamento</t>
        </r>
      </text>
    </comment>
    <comment ref="D66" authorId="0" shapeId="0" xr:uid="{761FFB44-CEDD-4756-B977-BC701F88EB09}">
      <text>
        <r>
          <rPr>
            <b/>
            <sz val="9"/>
            <color indexed="81"/>
            <rFont val="Tahoma"/>
            <family val="2"/>
          </rPr>
          <t>Luca Gianelli:</t>
        </r>
        <r>
          <rPr>
            <sz val="9"/>
            <color indexed="81"/>
            <rFont val="Tahoma"/>
            <family val="2"/>
          </rPr>
          <t xml:space="preserve">
Consumo di acqua per il confezionamento per 1 kg GP</t>
        </r>
      </text>
    </comment>
    <comment ref="D73" authorId="0" shapeId="0" xr:uid="{53ADD2F1-83E5-4472-99F1-242AB80C85D5}">
      <text>
        <r>
          <rPr>
            <b/>
            <sz val="9"/>
            <color indexed="81"/>
            <rFont val="Tahoma"/>
            <family val="2"/>
          </rPr>
          <t>Luca Gianelli:</t>
        </r>
        <r>
          <rPr>
            <sz val="9"/>
            <color indexed="81"/>
            <rFont val="Tahoma"/>
            <family val="2"/>
          </rPr>
          <t xml:space="preserve">
Grammatura packaging primario</t>
        </r>
      </text>
    </comment>
    <comment ref="D75" authorId="0" shapeId="0" xr:uid="{4D0AF76C-6D62-4D21-BE34-C1E10D642AF1}">
      <text>
        <r>
          <rPr>
            <b/>
            <sz val="9"/>
            <color indexed="81"/>
            <rFont val="Tahoma"/>
            <family val="2"/>
          </rPr>
          <t>Luca Gianelli:</t>
        </r>
        <r>
          <rPr>
            <sz val="9"/>
            <color indexed="81"/>
            <rFont val="Tahoma"/>
            <family val="2"/>
          </rPr>
          <t xml:space="preserve">
Massa del packaging primario vuoto (confezione) per 1 kg GP</t>
        </r>
      </text>
    </comment>
    <comment ref="D76" authorId="0" shapeId="0" xr:uid="{DE0A4A51-A92D-4341-A5A9-0B85811FA7A5}">
      <text>
        <r>
          <rPr>
            <b/>
            <sz val="9"/>
            <color indexed="81"/>
            <rFont val="Tahoma"/>
            <family val="2"/>
          </rPr>
          <t>Luca Gianelli:</t>
        </r>
        <r>
          <rPr>
            <sz val="9"/>
            <color indexed="81"/>
            <rFont val="Tahoma"/>
            <family val="2"/>
          </rPr>
          <t xml:space="preserve">
Superficie del packaging primario vuoto (confezione) per 1 kg GP</t>
        </r>
      </text>
    </comment>
    <comment ref="D78" authorId="0" shapeId="0" xr:uid="{3206B719-A145-4333-B839-1483CB8EB351}">
      <text>
        <r>
          <rPr>
            <b/>
            <sz val="9"/>
            <color indexed="81"/>
            <rFont val="Tahoma"/>
            <family val="2"/>
          </rPr>
          <t>Luca Gianelli:</t>
        </r>
        <r>
          <rPr>
            <sz val="9"/>
            <color indexed="81"/>
            <rFont val="Tahoma"/>
            <family val="2"/>
          </rPr>
          <t xml:space="preserve">
Massa di sfrido del packaging primario</t>
        </r>
      </text>
    </comment>
    <comment ref="D79" authorId="0" shapeId="0" xr:uid="{B1343A7C-C0B6-4298-9E57-86E7943189F1}">
      <text>
        <r>
          <rPr>
            <b/>
            <sz val="9"/>
            <color indexed="81"/>
            <rFont val="Tahoma"/>
            <family val="2"/>
          </rPr>
          <t>Luca Gianelli:</t>
        </r>
        <r>
          <rPr>
            <sz val="9"/>
            <color indexed="81"/>
            <rFont val="Tahoma"/>
            <family val="2"/>
          </rPr>
          <t xml:space="preserve">
Superficie di sfrido del packaging primario</t>
        </r>
      </text>
    </comment>
    <comment ref="D81" authorId="0" shapeId="0" xr:uid="{75B71C79-FE45-4427-BB6B-B9E4DE988E00}">
      <text>
        <r>
          <rPr>
            <b/>
            <sz val="9"/>
            <color indexed="81"/>
            <rFont val="Tahoma"/>
            <family val="2"/>
          </rPr>
          <t>Luca Gianelli:</t>
        </r>
        <r>
          <rPr>
            <sz val="9"/>
            <color indexed="81"/>
            <rFont val="Tahoma"/>
            <family val="2"/>
          </rPr>
          <t xml:space="preserve">
Superficie del packaging primario (confezione+sfrido) per 1 kg GP</t>
        </r>
      </text>
    </comment>
    <comment ref="D82" authorId="0" shapeId="0" xr:uid="{18D7F49C-F62A-4B15-AA47-74345F54D974}">
      <text>
        <r>
          <rPr>
            <b/>
            <sz val="9"/>
            <color indexed="81"/>
            <rFont val="Tahoma"/>
            <family val="2"/>
          </rPr>
          <t>Luca Gianelli:</t>
        </r>
        <r>
          <rPr>
            <sz val="9"/>
            <color indexed="81"/>
            <rFont val="Tahoma"/>
            <family val="2"/>
          </rPr>
          <t xml:space="preserve">
Trasporto packaging primario (confezione+sfrido) per 1 kg GP</t>
        </r>
      </text>
    </comment>
    <comment ref="D84" authorId="0" shapeId="0" xr:uid="{1BCC2199-2A4D-4D7C-ADE2-5F9564336CC9}">
      <text>
        <r>
          <rPr>
            <b/>
            <sz val="9"/>
            <color indexed="81"/>
            <rFont val="Tahoma"/>
            <family val="2"/>
          </rPr>
          <t>Luca Gianelli:</t>
        </r>
        <r>
          <rPr>
            <sz val="9"/>
            <color indexed="81"/>
            <rFont val="Tahoma"/>
            <family val="2"/>
          </rPr>
          <t xml:space="preserve">
Massa del coperchio della vaschetta vuota (confezione) per 1 kg GP</t>
        </r>
      </text>
    </comment>
    <comment ref="D85" authorId="0" shapeId="0" xr:uid="{EFF6E50C-3CC5-45AE-9CFA-84C66C0343D7}">
      <text>
        <r>
          <rPr>
            <b/>
            <sz val="9"/>
            <color indexed="81"/>
            <rFont val="Tahoma"/>
            <family val="2"/>
          </rPr>
          <t>Luca Gianelli:</t>
        </r>
        <r>
          <rPr>
            <sz val="9"/>
            <color indexed="81"/>
            <rFont val="Tahoma"/>
            <family val="2"/>
          </rPr>
          <t xml:space="preserve">
Superficie del coperchio della vaschetta vuota (confezione) per 1 kg GP</t>
        </r>
      </text>
    </comment>
    <comment ref="D87" authorId="0" shapeId="0" xr:uid="{42E48722-C566-4785-A1B9-447291F7B0F4}">
      <text>
        <r>
          <rPr>
            <b/>
            <sz val="9"/>
            <color indexed="81"/>
            <rFont val="Tahoma"/>
            <family val="2"/>
          </rPr>
          <t>Luca Gianelli:</t>
        </r>
        <r>
          <rPr>
            <sz val="9"/>
            <color indexed="81"/>
            <rFont val="Tahoma"/>
            <family val="2"/>
          </rPr>
          <t xml:space="preserve">
Massa di sfrido del coperchio della vaschetta</t>
        </r>
      </text>
    </comment>
    <comment ref="D88" authorId="0" shapeId="0" xr:uid="{A7B5F6F1-DA78-4752-A3DA-5EE4EE9D5BB4}">
      <text>
        <r>
          <rPr>
            <b/>
            <sz val="9"/>
            <color indexed="81"/>
            <rFont val="Tahoma"/>
            <family val="2"/>
          </rPr>
          <t>Luca Gianelli:</t>
        </r>
        <r>
          <rPr>
            <sz val="9"/>
            <color indexed="81"/>
            <rFont val="Tahoma"/>
            <family val="2"/>
          </rPr>
          <t xml:space="preserve">
Superficie di sfrido del coperchio della vaschetta</t>
        </r>
      </text>
    </comment>
    <comment ref="D90" authorId="0" shapeId="0" xr:uid="{2E3D1542-A009-4E5A-9353-84CBFFA6621B}">
      <text>
        <r>
          <rPr>
            <b/>
            <sz val="9"/>
            <color indexed="81"/>
            <rFont val="Tahoma"/>
            <family val="2"/>
          </rPr>
          <t>Luca Gianelli:</t>
        </r>
        <r>
          <rPr>
            <sz val="9"/>
            <color indexed="81"/>
            <rFont val="Tahoma"/>
            <family val="2"/>
          </rPr>
          <t xml:space="preserve">
Superficie del coperchio della vaschetta di packaging primario (confezione+sfrido) per 1 kg GP</t>
        </r>
      </text>
    </comment>
    <comment ref="D91" authorId="0" shapeId="0" xr:uid="{3F887853-631B-40D7-B766-E5580E1C8071}">
      <text>
        <r>
          <rPr>
            <b/>
            <sz val="9"/>
            <color indexed="81"/>
            <rFont val="Tahoma"/>
            <family val="2"/>
          </rPr>
          <t>Luca Gianelli:</t>
        </r>
        <r>
          <rPr>
            <sz val="9"/>
            <color indexed="81"/>
            <rFont val="Tahoma"/>
            <family val="2"/>
          </rPr>
          <t xml:space="preserve">
Trasporto coperchio della vaschetta (confezione+sfrido) per 1 kg GP</t>
        </r>
      </text>
    </comment>
    <comment ref="D93" authorId="0" shapeId="0" xr:uid="{E6271196-A26D-4EF6-995B-1C9139C34DBA}">
      <text>
        <r>
          <rPr>
            <b/>
            <sz val="9"/>
            <color indexed="81"/>
            <rFont val="Tahoma"/>
            <family val="2"/>
          </rPr>
          <t>Luca Gianelli:</t>
        </r>
        <r>
          <rPr>
            <sz val="9"/>
            <color indexed="81"/>
            <rFont val="Tahoma"/>
            <family val="2"/>
          </rPr>
          <t xml:space="preserve">
Massa del fondo della vaschetta vuota (confezione) per 1 kg GP</t>
        </r>
      </text>
    </comment>
    <comment ref="D94" authorId="0" shapeId="0" xr:uid="{7C1A5FD0-EF4F-40D6-B516-C7E325B04DDA}">
      <text>
        <r>
          <rPr>
            <b/>
            <sz val="9"/>
            <color indexed="81"/>
            <rFont val="Tahoma"/>
            <family val="2"/>
          </rPr>
          <t>Luca Gianelli:</t>
        </r>
        <r>
          <rPr>
            <sz val="9"/>
            <color indexed="81"/>
            <rFont val="Tahoma"/>
            <family val="2"/>
          </rPr>
          <t xml:space="preserve">
Superficie del fondo della vaschetta vuota (confezione) per 1 kg GP</t>
        </r>
      </text>
    </comment>
    <comment ref="D96" authorId="0" shapeId="0" xr:uid="{8234992C-F644-4080-A65F-322A3ECC95F4}">
      <text>
        <r>
          <rPr>
            <b/>
            <sz val="9"/>
            <color indexed="81"/>
            <rFont val="Tahoma"/>
            <family val="2"/>
          </rPr>
          <t>Luca Gianelli:</t>
        </r>
        <r>
          <rPr>
            <sz val="9"/>
            <color indexed="81"/>
            <rFont val="Tahoma"/>
            <family val="2"/>
          </rPr>
          <t xml:space="preserve">
Massa di sfrido del fondo della vaschetta</t>
        </r>
      </text>
    </comment>
    <comment ref="D97" authorId="0" shapeId="0" xr:uid="{FD2E6534-52A8-465C-82AF-4FACF6EF6B0B}">
      <text>
        <r>
          <rPr>
            <b/>
            <sz val="9"/>
            <color indexed="81"/>
            <rFont val="Tahoma"/>
            <family val="2"/>
          </rPr>
          <t>Luca Gianelli:</t>
        </r>
        <r>
          <rPr>
            <sz val="9"/>
            <color indexed="81"/>
            <rFont val="Tahoma"/>
            <family val="2"/>
          </rPr>
          <t xml:space="preserve">
Superficie di sfrido del fondo della vaschetta</t>
        </r>
      </text>
    </comment>
    <comment ref="D99" authorId="0" shapeId="0" xr:uid="{62C12A99-FF70-41E5-9B60-2D3F9F12ECA1}">
      <text>
        <r>
          <rPr>
            <b/>
            <sz val="9"/>
            <color indexed="81"/>
            <rFont val="Tahoma"/>
            <family val="2"/>
          </rPr>
          <t>Luca Gianelli:</t>
        </r>
        <r>
          <rPr>
            <sz val="9"/>
            <color indexed="81"/>
            <rFont val="Tahoma"/>
            <family val="2"/>
          </rPr>
          <t xml:space="preserve">
Superficie del fondo della vaschetta di packaging primario (confezione+sfrido) per 1 kg GP</t>
        </r>
      </text>
    </comment>
    <comment ref="D100" authorId="0" shapeId="0" xr:uid="{6E7B19B4-96F6-4398-83C6-9B8B0836DCE1}">
      <text>
        <r>
          <rPr>
            <b/>
            <sz val="9"/>
            <color indexed="81"/>
            <rFont val="Tahoma"/>
            <family val="2"/>
          </rPr>
          <t>Luca Gianelli:</t>
        </r>
        <r>
          <rPr>
            <sz val="9"/>
            <color indexed="81"/>
            <rFont val="Tahoma"/>
            <family val="2"/>
          </rPr>
          <t xml:space="preserve">
Trasporto fondo della vaschetta (confezione+sfrido) per 1 kg GP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Luca Gianelli</author>
  </authors>
  <commentList>
    <comment ref="C1" authorId="0" shapeId="0" xr:uid="{F5F415A0-A586-4334-9EAD-C4655FD3678C}">
      <text>
        <r>
          <rPr>
            <b/>
            <sz val="9"/>
            <color indexed="81"/>
            <rFont val="Tahoma"/>
            <family val="2"/>
          </rPr>
          <t>Luca Gianelli:</t>
        </r>
        <r>
          <rPr>
            <sz val="9"/>
            <color indexed="81"/>
            <rFont val="Tahoma"/>
            <family val="2"/>
          </rPr>
          <t xml:space="preserve">
dati riferiti a 1 kg GP confezionato, allocato allo spreco alimentare del confezionamento</t>
        </r>
      </text>
    </comment>
  </commentList>
</comments>
</file>

<file path=xl/sharedStrings.xml><?xml version="1.0" encoding="utf-8"?>
<sst xmlns="http://schemas.openxmlformats.org/spreadsheetml/2006/main" count="963" uniqueCount="454">
  <si>
    <t>% [Massa]</t>
  </si>
  <si>
    <t>Input</t>
  </si>
  <si>
    <t>Water, river, IT</t>
  </si>
  <si>
    <r>
      <t>m</t>
    </r>
    <r>
      <rPr>
        <vertAlign val="superscript"/>
        <sz val="10"/>
        <color indexed="8"/>
        <rFont val="Calibri"/>
        <family val="2"/>
      </rPr>
      <t>3</t>
    </r>
  </si>
  <si>
    <t>Water, well, in ground, IT</t>
  </si>
  <si>
    <t>kg</t>
  </si>
  <si>
    <t>-</t>
  </si>
  <si>
    <t>ELCD</t>
  </si>
  <si>
    <t>kWh</t>
  </si>
  <si>
    <t>Energy, from diesel burned in machinery/RER Energy</t>
  </si>
  <si>
    <t>Agri -footprint</t>
  </si>
  <si>
    <t>MJ</t>
  </si>
  <si>
    <t>Liquefied petroleum gas, combusted in industrial boiler/US</t>
  </si>
  <si>
    <t>USLCI</t>
  </si>
  <si>
    <t>tkm</t>
  </si>
  <si>
    <t>Lorry transport, Euro 0, 1, 2, 3, 4 mix, 22 t total weight, 17,3t max payload RER S</t>
  </si>
  <si>
    <t>Output</t>
  </si>
  <si>
    <t>Amount</t>
  </si>
  <si>
    <r>
      <t>m</t>
    </r>
    <r>
      <rPr>
        <vertAlign val="superscript"/>
        <sz val="10"/>
        <color indexed="8"/>
        <rFont val="Calibri"/>
        <family val="2"/>
      </rPr>
      <t>3</t>
    </r>
    <r>
      <rPr>
        <sz val="11"/>
        <color theme="1"/>
        <rFont val="Calibri"/>
        <family val="2"/>
        <scheme val="minor"/>
      </rPr>
      <t/>
    </r>
  </si>
  <si>
    <t>Water, unspecified natural origin, IT</t>
  </si>
  <si>
    <t>g</t>
  </si>
  <si>
    <t>Provolone Valpadana DOP</t>
  </si>
  <si>
    <t>Grana Padano DOP</t>
  </si>
  <si>
    <t>Climate change [kgCO2eq/kgFPCM]</t>
  </si>
  <si>
    <t>Climate change fossil [kgCO2eq/kgFPCM]</t>
  </si>
  <si>
    <t>Climate change biogenic [kgCO2eq/kgFPCM]</t>
  </si>
  <si>
    <t>Ozone depletion [kgCFC-11 eq/kgFPCM]</t>
  </si>
  <si>
    <t>Human toxicity - non cancer effects [CTUh/kgFPCM]</t>
  </si>
  <si>
    <t>Human toxicity - cancer effects [CTUh/kgFPCM]</t>
  </si>
  <si>
    <t>Particulate matter [kg PM2.5 eq/kgFPCM]</t>
  </si>
  <si>
    <t>Iozoning radiation HH [kBq U235eq/kgFPCM]</t>
  </si>
  <si>
    <t>Iozoning radiation E [CTUe/kgFPCM]</t>
  </si>
  <si>
    <t>Photochemical ozone formation [kgNMVOC eq/kgFPCM]</t>
  </si>
  <si>
    <t>Acidification [molc H+eq/kgFPCM]</t>
  </si>
  <si>
    <t>Terrestrial eutrophication [molc Neq/kgFPCM]</t>
  </si>
  <si>
    <t>Marine eutrophication [kgNeq/kgFPCM]</t>
  </si>
  <si>
    <t>Freshwater ecotoxicity [CTUe/kgFPCM]</t>
  </si>
  <si>
    <t>Land use [kgC deficit/kgFPCM]</t>
  </si>
  <si>
    <t>Mineral, fossil &amp; ren resource depletion [kgSb eq/kgFPCM]</t>
  </si>
  <si>
    <t>Raw milk, at dairy farm/NL (IDF)</t>
  </si>
  <si>
    <t>Ethane, 1,1,1,2-tetrafluoro-, HFC-134a</t>
  </si>
  <si>
    <t>Unspecified</t>
  </si>
  <si>
    <t>elementary flow</t>
  </si>
  <si>
    <t>Ecoinvent 3.4</t>
  </si>
  <si>
    <t>adapted Ecoinvent 3.4</t>
  </si>
  <si>
    <t>Electricity, high voltage {IT}| heat and power co-generation, biogas, gas engine | adapted Cut-off, S</t>
  </si>
  <si>
    <t>Heat , central or small-scale, other than natural gas {IT}| heat and power co-generation, biogas, gas engine | adapted Cut-off, S</t>
  </si>
  <si>
    <t>Corrugated board box {RER}| production | Cut-off, S</t>
  </si>
  <si>
    <t>Sodium chloride, powder {RER}| production | Cut-off, S</t>
  </si>
  <si>
    <t>Refrigerant R134a {GLO}| market for | Cut-off, S</t>
  </si>
  <si>
    <t>Electricity, medium voltage {IT}| market for | Cut-off, S</t>
  </si>
  <si>
    <t>Heat, district or industrial, natural gas {Europe without Switzerland}| heat production, natural gas, at industrial furnace &gt;100kW | Cut-off, S</t>
  </si>
  <si>
    <t>Heat, district or industrial, other than natural gas {Europe without Switzerland}| heat production, light fuel oil, at industrial furnace 1MW | Cut-off, S</t>
  </si>
  <si>
    <t>Electricity, low voltage {IT}| electricity production, photovoltaic, 3kWp slanted-roof installation, multi-Si, panel, mounted | Cut-off, S</t>
  </si>
  <si>
    <t>Wastewater from potato starch production {IT}| treatment of, capacity 1.1E10l/year | Cut-off, S</t>
  </si>
  <si>
    <t>adapetd Ecoinvent 3.4</t>
  </si>
  <si>
    <t>Tap water {IT}| tap water production, conventional treatment | Cut-off, S</t>
  </si>
  <si>
    <t>Tap water {IT}| tap water production, underground water with disinfection | Cut-off, S</t>
  </si>
  <si>
    <t>m3</t>
  </si>
  <si>
    <t>Farm 1</t>
  </si>
  <si>
    <t>Farm 2</t>
  </si>
  <si>
    <t>Farm 3</t>
  </si>
  <si>
    <t>Farm 4</t>
  </si>
  <si>
    <t>Farm 5</t>
  </si>
  <si>
    <t>Farm 6</t>
  </si>
  <si>
    <t>Farm 7</t>
  </si>
  <si>
    <t>Farm 8</t>
  </si>
  <si>
    <t>Farm 9</t>
  </si>
  <si>
    <t>Farm 10</t>
  </si>
  <si>
    <t>Average value</t>
  </si>
  <si>
    <t>Fats</t>
  </si>
  <si>
    <t>Proteins</t>
  </si>
  <si>
    <t>Units</t>
  </si>
  <si>
    <t>Automatic value</t>
  </si>
  <si>
    <t>Value to be insert</t>
  </si>
  <si>
    <t>Incoming raw milk [kg]</t>
  </si>
  <si>
    <t>F% (weight/weight)</t>
  </si>
  <si>
    <t>P% (Weight/Weight)</t>
  </si>
  <si>
    <t>FU 1 kg of raw milk</t>
  </si>
  <si>
    <t>Weight/volume [g/100ml]</t>
  </si>
  <si>
    <t>Weight/Weight [%]</t>
  </si>
  <si>
    <t>Value to be insert from menu</t>
  </si>
  <si>
    <t>CHEESE + WHEY + CREAM</t>
  </si>
  <si>
    <t>Whey</t>
  </si>
  <si>
    <t>Cream</t>
  </si>
  <si>
    <t>SALT</t>
  </si>
  <si>
    <t>TOTAL</t>
  </si>
  <si>
    <t>TOTAL CONSUMED</t>
  </si>
  <si>
    <t>Raw Milk</t>
  </si>
  <si>
    <t>kg DM</t>
  </si>
  <si>
    <t>DM%</t>
  </si>
  <si>
    <t>Allocation</t>
  </si>
  <si>
    <t>Total kg</t>
  </si>
  <si>
    <t>Total kg of raw milk</t>
  </si>
  <si>
    <t>Total of raw milk</t>
  </si>
  <si>
    <t>Incoming raw milk in total</t>
  </si>
  <si>
    <t>Raw milk, at dairy farm CTFGP/IT_S</t>
  </si>
  <si>
    <t>LIFE TTGG database</t>
  </si>
  <si>
    <t>LIFE TTGG software</t>
  </si>
  <si>
    <t>Value</t>
  </si>
  <si>
    <t>Unit</t>
  </si>
  <si>
    <t>Comment</t>
  </si>
  <si>
    <t>Water from river</t>
  </si>
  <si>
    <t>Water from well</t>
  </si>
  <si>
    <t>Dataset name</t>
  </si>
  <si>
    <t>Salt</t>
  </si>
  <si>
    <t>Cleaning agents</t>
  </si>
  <si>
    <t>Electricity from national grid</t>
  </si>
  <si>
    <t>Electricity from RECS</t>
  </si>
  <si>
    <t>Natural gas</t>
  </si>
  <si>
    <t>Diesel</t>
  </si>
  <si>
    <t>LPG</t>
  </si>
  <si>
    <t>Oil</t>
  </si>
  <si>
    <t>Electricity from PV</t>
  </si>
  <si>
    <t>Electricity from CHP plant</t>
  </si>
  <si>
    <t>Heat from CHP plant</t>
  </si>
  <si>
    <t>Transport of salt</t>
  </si>
  <si>
    <t>Transport of cleaning agents</t>
  </si>
  <si>
    <t>Inputs from nature (resources)</t>
  </si>
  <si>
    <t>Inputs from technosphere (materials/fuels)</t>
  </si>
  <si>
    <t>Emissions to air</t>
  </si>
  <si>
    <t>Emissions to water</t>
  </si>
  <si>
    <t>Emissions to soil</t>
  </si>
  <si>
    <t>Default LCI</t>
  </si>
  <si>
    <t>LCI database/Source</t>
  </si>
  <si>
    <t>Outputs to technosphere. Waste and emissions to treatment</t>
  </si>
  <si>
    <t>Pallet</t>
  </si>
  <si>
    <t>Soap {GLO}| market for | Cut-off, S</t>
  </si>
  <si>
    <t>Packaging film, low density polyethylene {RER}| production | Cut-off, S</t>
  </si>
  <si>
    <t>EUR-flat pallet {RER}| production | adapted Cut-off, S</t>
  </si>
  <si>
    <t>Water - stringent treatment</t>
  </si>
  <si>
    <t>Packaging film</t>
  </si>
  <si>
    <t>Corrugated board</t>
  </si>
  <si>
    <t>Emission to water</t>
  </si>
  <si>
    <t>Emission</t>
  </si>
  <si>
    <t>Transport of corrugated board</t>
  </si>
  <si>
    <t>Transport of packaging film</t>
  </si>
  <si>
    <t>Transport of pallet</t>
  </si>
  <si>
    <t>Transport of waste</t>
  </si>
  <si>
    <t>Plastic film</t>
  </si>
  <si>
    <t>Wood</t>
  </si>
  <si>
    <t>Core board (waste treatment) {GLO}| recycling of core board | Cut-off, S</t>
  </si>
  <si>
    <t>Municipal solid waste (waste scenario) {IT}| treatment of municipal solid waste, incineration | Cut-off, S</t>
  </si>
  <si>
    <t>Municipal solid waste (waste scenario) {RoW}| Treatment of municipal solid waste, landfill | Cut-off, S</t>
  </si>
  <si>
    <t>Default Ecoinvent dataset (0,027 Nm3 for  1 MJ - considering 1 Nm3=1,056 Sm3)</t>
  </si>
  <si>
    <t>Amount of: 0,0246526315789474 kg of oil for 1 MJ in output. Source Ecoinvent 3.4.</t>
  </si>
  <si>
    <t>Comments</t>
  </si>
  <si>
    <t>Water - conventional treatment</t>
  </si>
  <si>
    <t>Water from the net</t>
  </si>
  <si>
    <t>Unbranded cheese 1</t>
  </si>
  <si>
    <t>Unbranded cheese 2</t>
  </si>
  <si>
    <t>Unbranded cheese 3</t>
  </si>
  <si>
    <t>Farms</t>
  </si>
  <si>
    <t>Freshwater eutrophication [kgPeq/kgFPCM]</t>
  </si>
  <si>
    <t>Water resource depletion [m3 water eq/kgFPCM]</t>
  </si>
  <si>
    <t>Incoming raw milk kg [FPCM]</t>
  </si>
  <si>
    <t>CC Land transformation [kgCO2eq/kgFPCM]</t>
  </si>
  <si>
    <t>kgDM%</t>
  </si>
  <si>
    <t>kg of raw milk</t>
  </si>
  <si>
    <t>Raw milk from not own farms</t>
  </si>
  <si>
    <t>Raw milk from own farms</t>
  </si>
  <si>
    <t>Gas refrigerant R407 C</t>
  </si>
  <si>
    <t>Density 845 [g/litre] - Source EN ISO 3675 and EN ISO 12185.
From kg to MJ by Ecoinvent 3.4</t>
  </si>
  <si>
    <t>litre</t>
  </si>
  <si>
    <t>Transport of raw milk from not own farms</t>
  </si>
  <si>
    <t>Transport of raw milk from own farms</t>
  </si>
  <si>
    <t>Transport Grana Padano DOP</t>
  </si>
  <si>
    <t>Core board</t>
  </si>
  <si>
    <t>Wastewater treatment</t>
  </si>
  <si>
    <t>Inputs in technosphere. Product and co-products</t>
  </si>
  <si>
    <t>FOGLIO DA SISTEMARE SUL MODELLO DI QUELLO ESISTENTE PER RAW MILK</t>
  </si>
  <si>
    <t>R404a</t>
  </si>
  <si>
    <t>R134a</t>
  </si>
  <si>
    <t>R143a</t>
  </si>
  <si>
    <t>R125</t>
  </si>
  <si>
    <t>Yes</t>
  </si>
  <si>
    <t>No</t>
  </si>
  <si>
    <t>Confezionamento</t>
  </si>
  <si>
    <t>Sì</t>
  </si>
  <si>
    <t>%</t>
  </si>
  <si>
    <t>Grattugiato</t>
  </si>
  <si>
    <t>Rifiuto organico</t>
  </si>
  <si>
    <t>ACQUA</t>
  </si>
  <si>
    <t>Biologico</t>
  </si>
  <si>
    <t>Tipologia di packaging primario</t>
  </si>
  <si>
    <t>Film</t>
  </si>
  <si>
    <t>Formato di Grana Padano DOP</t>
  </si>
  <si>
    <t>Vaschetta</t>
  </si>
  <si>
    <t>Scaglie (petali)</t>
  </si>
  <si>
    <t>Cubetti (bocconcini)</t>
  </si>
  <si>
    <t>Grana Padano tradizionale</t>
  </si>
  <si>
    <t>Trentingrana o Grana Padano senza lisozima</t>
  </si>
  <si>
    <t>Lo stabilimento ha pannelli fotovoltaici?</t>
  </si>
  <si>
    <t>L'energia prodotta dai pannelli fotovoltaici viene impiegata nel confezionamento?</t>
  </si>
  <si>
    <t>Porzionato</t>
  </si>
  <si>
    <t>Destino dello scarto alimentare</t>
  </si>
  <si>
    <t>Venduto per altre destinazioni (esempio: mangime zootecnico)</t>
  </si>
  <si>
    <t>Step</t>
  </si>
  <si>
    <t>Name</t>
  </si>
  <si>
    <t>Question</t>
  </si>
  <si>
    <t>Type</t>
  </si>
  <si>
    <t>Default</t>
  </si>
  <si>
    <t>Answer</t>
  </si>
  <si>
    <t>Visible</t>
  </si>
  <si>
    <t>Enable</t>
  </si>
  <si>
    <t>Panel</t>
  </si>
  <si>
    <t>Info</t>
  </si>
  <si>
    <t>GP_CONFEZIONATO</t>
  </si>
  <si>
    <t>Grana Padano DOP confezionato</t>
  </si>
  <si>
    <t>kg/anno</t>
  </si>
  <si>
    <t>Int</t>
  </si>
  <si>
    <t>ALTRO_FORMAGGIO_CONFEZIONATO</t>
  </si>
  <si>
    <t>Altro formaggio confezionato</t>
  </si>
  <si>
    <t>FORMAGGIO_TOT_CONFEZIONATO</t>
  </si>
  <si>
    <t>GP_CONFEZIONATO_ATM</t>
  </si>
  <si>
    <t>Grana Padano confezionato con gas alimentare protettivo</t>
  </si>
  <si>
    <t>DOMANDE STRUTTURALI</t>
  </si>
  <si>
    <t>ALTRO_FORMAGGIO_CONFEZIONATO_ATM</t>
  </si>
  <si>
    <t>Altro formaggio confezionato con gas alimentare protettivo</t>
  </si>
  <si>
    <t>FORMAGGIO_TOT_CONFEZIONATO_ATM</t>
  </si>
  <si>
    <t>SCARTO_ALIMENTARE</t>
  </si>
  <si>
    <t>Scarto alimentare generato nel reparto di confezionamento</t>
  </si>
  <si>
    <t>AD_SCARTO_ALIMENTARE_KG_GP</t>
  </si>
  <si>
    <t>kg/kg GP</t>
  </si>
  <si>
    <t>Dec</t>
  </si>
  <si>
    <t>DESTINO_SCARTO_ALIMENTARE</t>
  </si>
  <si>
    <t>Bool</t>
  </si>
  <si>
    <t>FATTORE_ALLOCAZIONE_CONFEZIONAMENTO</t>
  </si>
  <si>
    <t>Text</t>
  </si>
  <si>
    <t>km</t>
  </si>
  <si>
    <t>tonkm/kg GP</t>
  </si>
  <si>
    <t>Consumo elettrico da rete impiegato per il confezionamento</t>
  </si>
  <si>
    <t>kWh/anno</t>
  </si>
  <si>
    <t>kWh/kg GP</t>
  </si>
  <si>
    <t>Energia autoconsumata nel confezionamento prodotta da pannello fotovoltaico</t>
  </si>
  <si>
    <t>Consumo di metano impiegato per il confezionamento</t>
  </si>
  <si>
    <t>m3/anno</t>
  </si>
  <si>
    <t>FATTORE_CONVERSIONE_METANO</t>
  </si>
  <si>
    <t>MJ/m3</t>
  </si>
  <si>
    <t>AD_CALORE_DA_METANO_KG_GP</t>
  </si>
  <si>
    <t>MJ/kg GP</t>
  </si>
  <si>
    <t>CONSUMI DI MATERIE PRIME</t>
  </si>
  <si>
    <t>Consumo di acqua impiegato per il confezionamento</t>
  </si>
  <si>
    <t>Altro gas refrigerante</t>
  </si>
  <si>
    <t>GAS_REFRIGERANTI_QUANTITA_R404A</t>
  </si>
  <si>
    <t>Quantità totale ricaricata in media negli ultimi 5 anni di R404a</t>
  </si>
  <si>
    <t>kg/5 anni</t>
  </si>
  <si>
    <t>GAS_REFRIGERANTI</t>
  </si>
  <si>
    <t>GAS_REFRIGERANTI_PROVENIENZA_R404A</t>
  </si>
  <si>
    <t>Distanza del fornitore del gas R404a</t>
  </si>
  <si>
    <t>AD_GAS_REFRIGERANTI_QUANTITA_R404A_KG_GP</t>
  </si>
  <si>
    <t>GAS_REFRIGERANTI_QUANTITA_R134A</t>
  </si>
  <si>
    <t>AD_GAS_REFRIGERANTI_QUANTITA_R134A_KG_GP</t>
  </si>
  <si>
    <t>GAS_REFRIGERANTI_PROVENIENZA_R134A</t>
  </si>
  <si>
    <t>Quantità totale ricaricata in media negli ultimi 5 anni di R134a</t>
  </si>
  <si>
    <t>Distanza del fornitore del gas R134a</t>
  </si>
  <si>
    <t>GAS_REFRIGERANTI_QUANTITA_R143A</t>
  </si>
  <si>
    <t>AD_GAS_REFRIGERANTI_QUANTITA_R143A_KG_GP</t>
  </si>
  <si>
    <t>GAS_REFRIGERANTI_PROVENIENZA_R143A</t>
  </si>
  <si>
    <t>Quantità totale ricaricata in media negli ultimi 5 anni di R143a</t>
  </si>
  <si>
    <t>Distanza del fornitore del gas R143a</t>
  </si>
  <si>
    <t>GAS_REFRIGERANTI_QUANTITA_R125</t>
  </si>
  <si>
    <t>Quantità totale ricaricata in media negli ultimi 5 anni di R125</t>
  </si>
  <si>
    <t>AD_GAS_REFRIGERANTI_QUANTITA_R125_KG_GP</t>
  </si>
  <si>
    <t>GAS_REFRIGERANTI_PROVENIENZA_R125</t>
  </si>
  <si>
    <t>Distanza del fornitore del gas R125</t>
  </si>
  <si>
    <t>GAS_REFRIGERANTI_QUANTITA_R437A</t>
  </si>
  <si>
    <t>Quantità totale ricaricata in media negli ultimi 5 anni di R437a</t>
  </si>
  <si>
    <t>GAS_REFRIGERANTI_QUANTITA_ALTRO</t>
  </si>
  <si>
    <t>AD_GAS_REFRIGERANTI_QUANTITA_ALTRO_KG_GP</t>
  </si>
  <si>
    <t>GAS_REFRIGERANTI_PROVENIENZA_ALTRO</t>
  </si>
  <si>
    <t>Quantità totale ricaricata in media negli ultimi 5 anni di altro gas refrigerante</t>
  </si>
  <si>
    <t>Distanza del fornitore di altro gas refrigerante</t>
  </si>
  <si>
    <t>AD_GAS_REFRIGERANTI_QUANTITA_TOTALE_KG_GP</t>
  </si>
  <si>
    <t>GAS_REFRIGERANTI_PROVENIENZA_MEDIA_TOTALE</t>
  </si>
  <si>
    <t>INFO_GAS_ATM</t>
  </si>
  <si>
    <t>GAS_ATM_CO2</t>
  </si>
  <si>
    <t>Quantità di gas alimentare protettivo (CO2) impiegata</t>
  </si>
  <si>
    <t>GAS_ATM_N2</t>
  </si>
  <si>
    <t>Quantità di gas alimentare protettivo (N2) impiegata</t>
  </si>
  <si>
    <t>GAS_ATM_TOT</t>
  </si>
  <si>
    <t>Percentuale di composizione del gas alimentare protettivo totale: CO2</t>
  </si>
  <si>
    <t>Percentuale di composizione del gas alimentare protettivo totale: N2</t>
  </si>
  <si>
    <t>PERCENTUALE_CO2</t>
  </si>
  <si>
    <t>PERCENTUALE_N2</t>
  </si>
  <si>
    <t>TOT_PERCENTUALE_CO2_N2</t>
  </si>
  <si>
    <t>AD_GAS_ATM_CO2_KG_GP</t>
  </si>
  <si>
    <t>AD_GAS_ATM_N2_KG_GP</t>
  </si>
  <si>
    <t>GAS_ATM_CO2_PROVENIENZA</t>
  </si>
  <si>
    <t>Provenienza CO2</t>
  </si>
  <si>
    <t>GAS_ATM_N2_PROVENIENZA</t>
  </si>
  <si>
    <t>Provenienza N2</t>
  </si>
  <si>
    <t>AD_TRASPORTO_CO2_KG_GP</t>
  </si>
  <si>
    <t>AD_TRASPORTO_N2_KG_GP</t>
  </si>
  <si>
    <t>DETERGENTI_QUANTITA</t>
  </si>
  <si>
    <t>Quantità di detergenti utilizzata</t>
  </si>
  <si>
    <t>PRINCIPIO_ATTIVO</t>
  </si>
  <si>
    <t>Quantità di principio attivo medio nei detergenti</t>
  </si>
  <si>
    <t>AD_DETERGENTI_QUANTITA_KG_GP</t>
  </si>
  <si>
    <t>DETERGENTI_PROVENIENZA</t>
  </si>
  <si>
    <t>Distanza fra fornitore e confezionamento</t>
  </si>
  <si>
    <t>AD_TRASPORTO_DETERGENTI_KG_GP</t>
  </si>
  <si>
    <t>AD_ACQUA_KG_GP</t>
  </si>
  <si>
    <t>PRODOTTO</t>
  </si>
  <si>
    <t>FORMATO_GP</t>
  </si>
  <si>
    <t>MASSA_GP</t>
  </si>
  <si>
    <t>Quantità di Grana Padano DOP contenuta nella confezione</t>
  </si>
  <si>
    <t>LEGENDA</t>
  </si>
  <si>
    <t>dato automatico</t>
  </si>
  <si>
    <t>GAS_ATM</t>
  </si>
  <si>
    <t>Il prodotto confezionato contiene gas alimentare protettivo?</t>
  </si>
  <si>
    <t>PACKAGING</t>
  </si>
  <si>
    <t>TIPOLOGIA_PACK1</t>
  </si>
  <si>
    <t>GRAMMATURA_PACK1</t>
  </si>
  <si>
    <t>g/m2</t>
  </si>
  <si>
    <t>PACK1_MASSA_CONFEZIONE</t>
  </si>
  <si>
    <t>Massa del packaging primario vuoto (confezione)</t>
  </si>
  <si>
    <t>PACK1_MASSA_CONFEZIONE_KG_GP</t>
  </si>
  <si>
    <t>PACK1_SUPERFICIE_CONFEZIONE_KG_GP</t>
  </si>
  <si>
    <t>m2/kg GP</t>
  </si>
  <si>
    <t>PACK1_%_SFRIDO</t>
  </si>
  <si>
    <t>Percentuale di sfrido del packaging primario</t>
  </si>
  <si>
    <t>PACK1_MASSA_SFRIDO_KG_GP</t>
  </si>
  <si>
    <t>PACK1_SUPERFICIE_SFRIDO_KG_GP</t>
  </si>
  <si>
    <t>PACK1_PROVENIENZA</t>
  </si>
  <si>
    <t>Provenienza del packaging primario</t>
  </si>
  <si>
    <t>AD_PACK1°_SUPERFICIE_KG_GP</t>
  </si>
  <si>
    <t>AD_TRASPORTO_PACK1_KG_GP</t>
  </si>
  <si>
    <t>PACK1_MASSA_CONFEZIONE_COPERCHIO_VAS</t>
  </si>
  <si>
    <t>Massa del coperchio della vaschetta vuota (confezione)</t>
  </si>
  <si>
    <t>PACK1_MASSA_CONFEZIONE_COPERCHIO_VAS_KG_GP</t>
  </si>
  <si>
    <t>PACK1_SUPERFICIE_CONFEZIONE_COPERCHIO_VAS_KG_GP</t>
  </si>
  <si>
    <t>PACK1_%_SFRIDO_COPERCHIO_VAS</t>
  </si>
  <si>
    <t>Percentuale di sfrido del coperchio della vaschetta</t>
  </si>
  <si>
    <t>PACK1_MASSA_SFRIDO_COPERCHIO_VAS_KG_GP</t>
  </si>
  <si>
    <t>PACK1_SUPERFICIE_SFRIDO_COPERCHIO_VAS_KG_GP</t>
  </si>
  <si>
    <t>PACK1_PROVENIENZA_COPERCHIO_VAS</t>
  </si>
  <si>
    <t>Provenienza del coperchio della vaschetta</t>
  </si>
  <si>
    <t>AD_COPERCHIO_VAS_SUPERFICIE_KG_GP</t>
  </si>
  <si>
    <t>AD_TRASPORTO_COPERCHIO_VAS_KG_GP</t>
  </si>
  <si>
    <t>PACK1_MASSA_CONFEZIONE_FONDO_VAS</t>
  </si>
  <si>
    <t>Massa del fondo della vaschetta vuota (confezione)</t>
  </si>
  <si>
    <t>PACK1_MASSA_CONFEZIONE_FONDO_VAS_KG_GP</t>
  </si>
  <si>
    <t>PACK1_SUPERFICIE_CONFEZIONE_FONDO_VAS_KG_GP</t>
  </si>
  <si>
    <t>PACK1_%_SFRIDO_FONDO_VAS</t>
  </si>
  <si>
    <t>Percentuale di sfrido del fondo della vaschetta</t>
  </si>
  <si>
    <t>PACK1_MASSA_SFRIDO_FONDO_VAS_KG_GP</t>
  </si>
  <si>
    <t>PACK1_SUPERFICIE_SFRIDO_FONDO_VAS_KG_GP</t>
  </si>
  <si>
    <t>PACK1_PROVENIENZA_FONDO_VAS</t>
  </si>
  <si>
    <t>Provenienza del fondo della vaschetta</t>
  </si>
  <si>
    <t>AD_FONDO_VAS_SUPERFICIE_KG_GP</t>
  </si>
  <si>
    <t>AD_TRASPORTO_FONDO_VAS_KG_GP</t>
  </si>
  <si>
    <t>activity data allocato</t>
  </si>
  <si>
    <t>Altro formato</t>
  </si>
  <si>
    <t>Punti</t>
  </si>
  <si>
    <t>Altro packaging primario</t>
  </si>
  <si>
    <t>Destino scarto alimentare</t>
  </si>
  <si>
    <t>Mask</t>
  </si>
  <si>
    <t>Tradizionale</t>
  </si>
  <si>
    <t>Trentingrana</t>
  </si>
  <si>
    <t>IdAnswer</t>
  </si>
  <si>
    <t>Rifiuto</t>
  </si>
  <si>
    <t>Coprodotto</t>
  </si>
  <si>
    <t>Benchmark</t>
  </si>
  <si>
    <t>Tipologia di Grana Padano</t>
  </si>
  <si>
    <t>Gas alimentare protettivo</t>
  </si>
  <si>
    <t>Formato di Grana Padano</t>
  </si>
  <si>
    <t>Scaglie</t>
  </si>
  <si>
    <t>Cubetti</t>
  </si>
  <si>
    <t>Distribuzione</t>
  </si>
  <si>
    <t>Altro_formato</t>
  </si>
  <si>
    <t>Altro_packaging_primario</t>
  </si>
  <si>
    <t>Busta_zip</t>
  </si>
  <si>
    <t>Gas refrigeranti</t>
  </si>
  <si>
    <t>Graph</t>
  </si>
  <si>
    <t>GRAFICI</t>
  </si>
  <si>
    <t>Sequence</t>
  </si>
  <si>
    <t>Tipologia packaging primario</t>
  </si>
  <si>
    <t>Busta (con o senza zip)</t>
  </si>
  <si>
    <t>NUOVA VALUTAZIONE DI IMPATTO AMBIENTALE</t>
  </si>
  <si>
    <t>TIPOLOGIA_GRANA_PADANO</t>
  </si>
  <si>
    <t>SEDE_VALUTAZIONE</t>
  </si>
  <si>
    <t>Seleziona una delle sedi produttive registrate per la quale si vuole svolgere la valutazione</t>
  </si>
  <si>
    <t>Nome sede</t>
  </si>
  <si>
    <t>Sede valutazione</t>
  </si>
  <si>
    <t>ANNO_VALUTAZIONE</t>
  </si>
  <si>
    <t>Seleziona l'anno a cui si riferiscono i dati inseriti nella valutazione</t>
  </si>
  <si>
    <t>Fase</t>
  </si>
  <si>
    <t>Stalla</t>
  </si>
  <si>
    <t>Caseificio</t>
  </si>
  <si>
    <t>Seleziona la tipologia di Grana Padano DOP oggetto di valutazione</t>
  </si>
  <si>
    <t>dato richiesto direttamente all'utente</t>
  </si>
  <si>
    <t>dato richiesto all'utente da scelta multipla</t>
  </si>
  <si>
    <t>Tipologia GP</t>
  </si>
  <si>
    <t>NOME_VALUTAZIONE</t>
  </si>
  <si>
    <t>Inserisci il nome della valutazione</t>
  </si>
  <si>
    <t>Acqua</t>
  </si>
  <si>
    <t>METANO_CONFEZIONAMENTO</t>
  </si>
  <si>
    <t>ELETTRICITA'_RETE_CONFEZIONAMENTO</t>
  </si>
  <si>
    <t>AD_ELETTRICITA'_RETE_CONFEZIONAMENTO_KG_GP</t>
  </si>
  <si>
    <t>INFO_ELETTRICITA'_SOLARE</t>
  </si>
  <si>
    <t>INFO_ELETTRICITA'_SOLARE2</t>
  </si>
  <si>
    <t>ELETTRICITA'_SOLARE</t>
  </si>
  <si>
    <t>AD_ELETTRICITA'_SOLARE_KG_GP</t>
  </si>
  <si>
    <t>Altro_gas</t>
  </si>
  <si>
    <t>Nessuno</t>
  </si>
  <si>
    <t>Nessuna perdita di gas refrigerante</t>
  </si>
  <si>
    <t>Scegli i gas refrigeranti impiegati nel confezionamento per i quali hai avuto perdite nei 5 anni precedenti all'anno a cui è riferita la presente valutazione</t>
  </si>
  <si>
    <t>Report</t>
  </si>
  <si>
    <t>REPORT_CONFEZIONAMENTO</t>
  </si>
  <si>
    <t>Report LCA scaricabile del confezionamento del prodotto analizzato</t>
  </si>
  <si>
    <t>Processi</t>
  </si>
  <si>
    <t>Unità di misura</t>
  </si>
  <si>
    <t>Valutazione</t>
  </si>
  <si>
    <t>Tabella a.d.</t>
  </si>
  <si>
    <t>TABELLA_ACTIVITY_DATA</t>
  </si>
  <si>
    <t>Differenza rispetto al benchmark [%]</t>
  </si>
  <si>
    <t>Packaging primario</t>
  </si>
  <si>
    <t>Packaging secondario</t>
  </si>
  <si>
    <t>Packaging terziario</t>
  </si>
  <si>
    <t>Elettricità</t>
  </si>
  <si>
    <t>Metano</t>
  </si>
  <si>
    <t>Detergenti</t>
  </si>
  <si>
    <t>Scarto alimentare</t>
  </si>
  <si>
    <t>Tabella degli activity data del confezionamento della valutazione analizzata: confronto con benchmark</t>
  </si>
  <si>
    <t>Titolo e caratteristiche</t>
  </si>
  <si>
    <t>CIAMBELLA_CONFEZIONAMENTO</t>
  </si>
  <si>
    <t>Ciambella confezionamento</t>
  </si>
  <si>
    <t>Ciambella dell'impatto ambientale del confezionamento del prodotto analizzato, con ripartizione dei processi e individuazione degli hotspots</t>
  </si>
  <si>
    <t>Pie</t>
  </si>
  <si>
    <t>Impatto ambientale del confezionamento del Grana Padano DOP</t>
  </si>
  <si>
    <t>Risultati per la fase di confezionamento confrontata al benchmark</t>
  </si>
  <si>
    <t>Impatti valutazione</t>
  </si>
  <si>
    <t>Uso</t>
  </si>
  <si>
    <t>Fine vita</t>
  </si>
  <si>
    <t>Bar</t>
  </si>
  <si>
    <t>Impatti del benchmark</t>
  </si>
  <si>
    <t>Bar ciclo vita</t>
  </si>
  <si>
    <t>ISTOGRAMMA_ORIZZONTALE_CICLO_VITA</t>
  </si>
  <si>
    <t>Istogramma orizzontale di confronto fra il ciclo vita del prodotto analizzato e il benchmark, per il punteggio singolo di pesatura</t>
  </si>
  <si>
    <t>Impatto ambientale del ciclo vita del Grana Padano DOP</t>
  </si>
  <si>
    <t>Risultati del ciclo vita confrontati con il benchmark</t>
  </si>
  <si>
    <t>Impatti della fase</t>
  </si>
  <si>
    <t>Grana Padano biologico</t>
  </si>
  <si>
    <t>Hai i consumi dei gas alimentari protettivi distinti per tipologia di gas (CO2 ed N2)?</t>
  </si>
  <si>
    <t>Quantità totale di gas alimentare protettivo usato (CO2 + N2)</t>
  </si>
  <si>
    <t>Unit of measurement</t>
  </si>
  <si>
    <t>Sede 1</t>
  </si>
  <si>
    <t>Sede 2</t>
  </si>
  <si>
    <t>Sede 3</t>
  </si>
  <si>
    <t>Sede 4</t>
  </si>
  <si>
    <t>Questo file Excel rappresenta un Modello Maschera (MM) esemplificativo di una fase della filiera lattiero-casearia. E' un MM di esempio, non completo e non totalmente funzionante.</t>
  </si>
  <si>
    <t>I fogli gialli rappresentano gli input al foglio Template, evidenziato in verde. Sono necessari per le risposte multiple dell'utente (mutuamente esclusive oppure multi-selezione).</t>
  </si>
  <si>
    <t>I fogli blu rappresentano gli output dal template: sono necessari a generare i grafici dei risultati di impatto ambientale.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</si>
</sst>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
    <numFmt numFmtId="167" formatCode="0.0000"/>
    <numFmt numFmtId="168" formatCode="0.000%"/>
    <numFmt numFmtId="169" formatCode="0.0000000000E+00"/>
  </numFmts>
  <fonts count="23" x14ac:knownFonts="1">
    <font>
      <sz val="11"/>
      <color theme="1"/>
      <name val="Calibri"/>
      <family val="2"/>
      <scheme val="minor"/>
    </font>
    <font>
      <sz val="10"/>
      <color indexed="8"/>
      <name val="Arial"/>
      <family val="2"/>
    </font>
    <font>
      <vertAlign val="superscript"/>
      <sz val="10"/>
      <color indexed="8"/>
      <name val="Calibri"/>
      <family val="2"/>
    </font>
    <font>
      <sz val="11"/>
      <color theme="1"/>
      <name val="Calibri"/>
      <family val="2"/>
      <scheme val="minor"/>
    </font>
    <font>
      <sz val="12"/>
      <color theme="1"/>
      <name val="Calibri"/>
      <family val="2"/>
      <scheme val="minor"/>
    </font>
    <font>
      <b/>
      <sz val="10"/>
      <color theme="1"/>
      <name val="Calibri"/>
      <family val="2"/>
      <scheme val="minor"/>
    </font>
    <font>
      <b/>
      <sz val="10"/>
      <color theme="0"/>
      <name val="Calibri"/>
      <family val="2"/>
      <scheme val="minor"/>
    </font>
    <font>
      <sz val="10"/>
      <color theme="0"/>
      <name val="Calibri"/>
      <family val="2"/>
      <scheme val="minor"/>
    </font>
    <font>
      <sz val="10"/>
      <color theme="1"/>
      <name val="Calibri"/>
      <family val="2"/>
      <scheme val="minor"/>
    </font>
    <font>
      <b/>
      <sz val="11"/>
      <color theme="1"/>
      <name val="Calibri"/>
      <family val="2"/>
      <scheme val="minor"/>
    </font>
    <font>
      <sz val="11"/>
      <name val="Calibri"/>
      <family val="2"/>
      <scheme val="minor"/>
    </font>
    <font>
      <b/>
      <sz val="11"/>
      <color theme="4" tint="-0.249977111117893"/>
      <name val="Calibri"/>
      <family val="2"/>
      <scheme val="minor"/>
    </font>
    <font>
      <b/>
      <sz val="20"/>
      <color rgb="FFFF0000"/>
      <name val="Calibri"/>
      <family val="2"/>
      <scheme val="minor"/>
    </font>
    <font>
      <sz val="9"/>
      <color indexed="81"/>
      <name val="Tahoma"/>
      <family val="2"/>
    </font>
    <font>
      <b/>
      <sz val="9"/>
      <color indexed="81"/>
      <name val="Tahoma"/>
      <family val="2"/>
    </font>
    <font>
      <b/>
      <sz val="11"/>
      <name val="Calibri"/>
      <family val="2"/>
      <scheme val="minor"/>
    </font>
    <font>
      <sz val="11"/>
      <color indexed="8"/>
      <name val="Calibri"/>
      <family val="2"/>
      <scheme val="minor"/>
    </font>
    <font>
      <sz val="8"/>
      <name val="Calibri"/>
      <family val="2"/>
      <scheme val="minor"/>
    </font>
    <font>
      <sz val="8"/>
      <color theme="1"/>
      <name val="Calibri"/>
      <family val="2"/>
      <scheme val="minor"/>
    </font>
    <font>
      <sz val="11"/>
      <color rgb="FF000000"/>
      <name val="Calibri"/>
      <family val="2"/>
      <scheme val="minor"/>
    </font>
    <font>
      <b/>
      <sz val="12"/>
      <name val="Calibri"/>
      <family val="2"/>
      <scheme val="minor"/>
    </font>
    <font>
      <sz val="10"/>
      <color rgb="FF000000"/>
      <name val="Arial"/>
      <family val="2"/>
    </font>
    <font>
      <sz val="11"/>
      <color rgb="FFFF000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3" tint="-0.249977111117893"/>
        <bgColor indexed="64"/>
      </patternFill>
    </fill>
    <fill>
      <patternFill patternType="solid">
        <fgColor theme="4"/>
        <bgColor indexed="64"/>
      </patternFill>
    </fill>
    <fill>
      <patternFill patternType="solid">
        <fgColor theme="3"/>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66FFFF"/>
        <bgColor indexed="64"/>
      </patternFill>
    </fill>
    <fill>
      <patternFill patternType="solid">
        <fgColor theme="7" tint="0.39997558519241921"/>
        <bgColor indexed="64"/>
      </patternFill>
    </fill>
    <fill>
      <patternFill patternType="solid">
        <fgColor theme="0" tint="-0.249977111117893"/>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s>
  <cellStyleXfs count="9">
    <xf numFmtId="0" fontId="0" fillId="0" borderId="0"/>
    <xf numFmtId="0" fontId="1" fillId="0" borderId="0"/>
    <xf numFmtId="0" fontId="4" fillId="0" borderId="0"/>
    <xf numFmtId="9" fontId="3" fillId="0" borderId="0" applyFont="0" applyFill="0" applyBorder="0" applyAlignment="0" applyProtection="0"/>
    <xf numFmtId="0" fontId="16" fillId="0" borderId="0"/>
    <xf numFmtId="0" fontId="3" fillId="0" borderId="0"/>
    <xf numFmtId="0" fontId="1" fillId="0" borderId="0"/>
    <xf numFmtId="0" fontId="16" fillId="0" borderId="0"/>
    <xf numFmtId="0" fontId="21" fillId="0" borderId="0"/>
  </cellStyleXfs>
  <cellXfs count="199">
    <xf numFmtId="0" fontId="0" fillId="0" borderId="0" xfId="0"/>
    <xf numFmtId="0" fontId="0" fillId="2" borderId="0" xfId="0" applyFill="1"/>
    <xf numFmtId="0" fontId="0" fillId="2" borderId="0" xfId="0" applyFill="1" applyBorder="1"/>
    <xf numFmtId="0" fontId="0" fillId="2" borderId="1" xfId="0" applyFill="1" applyBorder="1"/>
    <xf numFmtId="0" fontId="0" fillId="3" borderId="2" xfId="0" applyFill="1" applyBorder="1"/>
    <xf numFmtId="0" fontId="0" fillId="2" borderId="2" xfId="0" applyFill="1" applyBorder="1"/>
    <xf numFmtId="0" fontId="0" fillId="4" borderId="2" xfId="0" applyFill="1" applyBorder="1"/>
    <xf numFmtId="0" fontId="0" fillId="2" borderId="0" xfId="0" applyFill="1" applyAlignment="1">
      <alignment horizontal="left" vertical="center"/>
    </xf>
    <xf numFmtId="0" fontId="0" fillId="6" borderId="2" xfId="0" applyFill="1" applyBorder="1"/>
    <xf numFmtId="0" fontId="5" fillId="2" borderId="0" xfId="2" applyFont="1" applyFill="1" applyAlignment="1" applyProtection="1">
      <alignment vertical="center"/>
    </xf>
    <xf numFmtId="0" fontId="5" fillId="2" borderId="0" xfId="2" applyFont="1" applyFill="1" applyAlignment="1" applyProtection="1">
      <alignment vertical="center" wrapText="1"/>
    </xf>
    <xf numFmtId="0" fontId="5" fillId="2" borderId="0" xfId="2" applyFont="1" applyFill="1" applyAlignment="1" applyProtection="1">
      <alignment horizontal="left" vertical="center" wrapText="1"/>
    </xf>
    <xf numFmtId="0" fontId="5" fillId="2" borderId="0" xfId="2" applyFont="1" applyFill="1" applyAlignment="1" applyProtection="1">
      <alignment horizontal="left" vertical="center"/>
    </xf>
    <xf numFmtId="0" fontId="6" fillId="7" borderId="0" xfId="2" applyFont="1" applyFill="1" applyAlignment="1" applyProtection="1">
      <alignment horizontal="left" vertical="center"/>
    </xf>
    <xf numFmtId="0" fontId="6" fillId="7" borderId="0" xfId="2" applyFont="1" applyFill="1" applyAlignment="1" applyProtection="1">
      <alignment horizontal="left" vertical="center" wrapText="1"/>
    </xf>
    <xf numFmtId="0" fontId="6" fillId="7" borderId="0" xfId="2" applyFont="1" applyFill="1" applyAlignment="1" applyProtection="1">
      <alignment vertical="center"/>
    </xf>
    <xf numFmtId="0" fontId="7" fillId="7" borderId="0" xfId="2" applyFont="1" applyFill="1" applyAlignment="1" applyProtection="1">
      <alignment vertical="center"/>
    </xf>
    <xf numFmtId="0" fontId="6" fillId="8" borderId="0" xfId="2" applyFont="1" applyFill="1" applyAlignment="1" applyProtection="1">
      <alignment horizontal="left" vertical="center"/>
    </xf>
    <xf numFmtId="0" fontId="6" fillId="2" borderId="0" xfId="2" applyFont="1" applyFill="1" applyAlignment="1" applyProtection="1">
      <alignment horizontal="left" vertical="center"/>
    </xf>
    <xf numFmtId="0" fontId="8" fillId="2" borderId="0" xfId="2" applyFont="1" applyFill="1" applyAlignment="1" applyProtection="1">
      <alignment horizontal="left" vertical="center"/>
    </xf>
    <xf numFmtId="0" fontId="6" fillId="9" borderId="0" xfId="2" applyFont="1" applyFill="1" applyAlignment="1" applyProtection="1">
      <alignment horizontal="left" vertical="center"/>
    </xf>
    <xf numFmtId="0" fontId="6" fillId="9" borderId="0" xfId="2" applyFont="1" applyFill="1" applyAlignment="1" applyProtection="1">
      <alignment horizontal="left" vertical="center" wrapText="1"/>
    </xf>
    <xf numFmtId="0" fontId="7" fillId="9" borderId="0" xfId="2" applyFont="1" applyFill="1" applyAlignment="1" applyProtection="1">
      <alignment vertical="center"/>
    </xf>
    <xf numFmtId="0" fontId="6" fillId="8" borderId="0" xfId="2" applyFont="1" applyFill="1" applyAlignment="1" applyProtection="1">
      <alignment horizontal="left" vertical="center" wrapText="1"/>
    </xf>
    <xf numFmtId="0" fontId="8" fillId="8" borderId="0" xfId="2" applyFont="1" applyFill="1" applyAlignment="1" applyProtection="1">
      <alignment vertical="center"/>
    </xf>
    <xf numFmtId="0" fontId="8" fillId="2" borderId="0" xfId="2" applyFont="1" applyFill="1" applyAlignment="1" applyProtection="1">
      <alignment horizontal="left" vertical="center" wrapText="1"/>
    </xf>
    <xf numFmtId="0" fontId="8" fillId="2" borderId="0" xfId="0" applyFont="1" applyFill="1" applyAlignment="1">
      <alignment horizontal="left" vertical="center"/>
    </xf>
    <xf numFmtId="0" fontId="8" fillId="2" borderId="0" xfId="2" applyFont="1" applyFill="1" applyAlignment="1" applyProtection="1">
      <alignment vertical="center"/>
    </xf>
    <xf numFmtId="0" fontId="0" fillId="2" borderId="0" xfId="0" applyFill="1" applyAlignment="1">
      <alignment horizontal="right" vertical="center"/>
    </xf>
    <xf numFmtId="0" fontId="0" fillId="0" borderId="0" xfId="0" applyFill="1" applyAlignment="1">
      <alignment horizontal="left" vertical="center"/>
    </xf>
    <xf numFmtId="0" fontId="0" fillId="0" borderId="0" xfId="0" applyAlignment="1">
      <alignment horizontal="right" vertical="center"/>
    </xf>
    <xf numFmtId="0" fontId="6" fillId="8" borderId="0" xfId="2" applyFont="1" applyFill="1" applyAlignment="1" applyProtection="1">
      <alignment vertical="center"/>
    </xf>
    <xf numFmtId="0" fontId="6" fillId="2" borderId="0" xfId="2" applyFont="1" applyFill="1" applyAlignment="1" applyProtection="1">
      <alignment vertical="center"/>
    </xf>
    <xf numFmtId="0" fontId="0" fillId="0" borderId="0" xfId="0" applyAlignment="1">
      <alignment horizontal="left" vertical="center"/>
    </xf>
    <xf numFmtId="0" fontId="0" fillId="0" borderId="0" xfId="0" applyFill="1"/>
    <xf numFmtId="0" fontId="9" fillId="0" borderId="2" xfId="0" applyFont="1" applyBorder="1"/>
    <xf numFmtId="0" fontId="8" fillId="2" borderId="0" xfId="2" applyFont="1" applyFill="1" applyAlignment="1" applyProtection="1">
      <alignment horizontal="left" vertical="top"/>
    </xf>
    <xf numFmtId="1" fontId="8" fillId="2" borderId="0" xfId="2" applyNumberFormat="1" applyFont="1" applyFill="1" applyAlignment="1" applyProtection="1">
      <alignment horizontal="right" vertical="center"/>
    </xf>
    <xf numFmtId="164" fontId="8" fillId="2" borderId="0" xfId="3" applyNumberFormat="1" applyFont="1" applyFill="1" applyAlignment="1" applyProtection="1">
      <alignment horizontal="right" vertical="center"/>
    </xf>
    <xf numFmtId="0" fontId="6" fillId="7" borderId="0" xfId="2" applyFont="1" applyFill="1" applyAlignment="1" applyProtection="1">
      <alignment horizontal="right" vertical="center" wrapText="1"/>
    </xf>
    <xf numFmtId="0" fontId="0" fillId="3" borderId="2" xfId="0" applyFill="1" applyBorder="1" applyAlignment="1">
      <alignment horizontal="right" vertical="center"/>
    </xf>
    <xf numFmtId="9" fontId="3" fillId="3" borderId="2" xfId="3" applyFont="1" applyFill="1" applyBorder="1" applyAlignment="1">
      <alignment horizontal="right" vertical="center"/>
    </xf>
    <xf numFmtId="166" fontId="8" fillId="2" borderId="0" xfId="2" applyNumberFormat="1" applyFont="1" applyFill="1" applyAlignment="1" applyProtection="1">
      <alignment horizontal="right" vertical="center"/>
    </xf>
    <xf numFmtId="166" fontId="8" fillId="2" borderId="0" xfId="2" applyNumberFormat="1" applyFont="1" applyFill="1" applyAlignment="1" applyProtection="1">
      <alignment vertical="center"/>
    </xf>
    <xf numFmtId="0" fontId="8" fillId="2" borderId="0" xfId="0" applyFont="1" applyFill="1" applyAlignment="1">
      <alignment horizontal="left" vertical="center" wrapText="1"/>
    </xf>
    <xf numFmtId="166" fontId="8" fillId="2" borderId="0" xfId="0" applyNumberFormat="1" applyFont="1" applyFill="1" applyAlignment="1">
      <alignment horizontal="right" vertical="center"/>
    </xf>
    <xf numFmtId="0" fontId="8" fillId="2" borderId="0" xfId="0" applyFont="1" applyFill="1"/>
    <xf numFmtId="0" fontId="9" fillId="0" borderId="2" xfId="0" applyFont="1" applyFill="1" applyBorder="1" applyAlignment="1">
      <alignment horizontal="left" vertical="center"/>
    </xf>
    <xf numFmtId="0" fontId="9" fillId="2" borderId="2" xfId="0" applyFont="1" applyFill="1" applyBorder="1" applyAlignment="1">
      <alignment horizontal="left" vertical="center"/>
    </xf>
    <xf numFmtId="164" fontId="3" fillId="3" borderId="2" xfId="3" applyNumberFormat="1" applyFont="1" applyFill="1" applyBorder="1" applyAlignment="1">
      <alignment horizontal="right" vertical="center"/>
    </xf>
    <xf numFmtId="2" fontId="0" fillId="4" borderId="2" xfId="0" applyNumberFormat="1" applyFill="1" applyBorder="1" applyAlignment="1">
      <alignment horizontal="right" vertical="center"/>
    </xf>
    <xf numFmtId="0" fontId="0" fillId="0" borderId="2" xfId="0" applyFont="1" applyFill="1" applyBorder="1" applyAlignment="1">
      <alignment horizontal="left" vertical="center"/>
    </xf>
    <xf numFmtId="0" fontId="8" fillId="2" borderId="0" xfId="2" applyFont="1" applyFill="1" applyAlignment="1" applyProtection="1">
      <alignment horizontal="left" vertical="center"/>
    </xf>
    <xf numFmtId="0" fontId="0" fillId="0" borderId="2" xfId="0" applyBorder="1" applyAlignment="1">
      <alignment vertical="center"/>
    </xf>
    <xf numFmtId="0" fontId="9" fillId="0" borderId="2" xfId="0" applyFont="1" applyFill="1" applyBorder="1" applyAlignment="1">
      <alignment vertical="center"/>
    </xf>
    <xf numFmtId="0" fontId="9" fillId="2" borderId="2" xfId="0" applyFont="1" applyFill="1" applyBorder="1" applyAlignment="1">
      <alignment vertical="center"/>
    </xf>
    <xf numFmtId="0" fontId="0" fillId="0" borderId="2" xfId="0" applyFill="1" applyBorder="1" applyAlignment="1">
      <alignment vertical="center"/>
    </xf>
    <xf numFmtId="166" fontId="0" fillId="3" borderId="2" xfId="0" applyNumberFormat="1" applyFill="1" applyBorder="1" applyAlignment="1">
      <alignment horizontal="right" vertical="center"/>
    </xf>
    <xf numFmtId="166" fontId="9" fillId="3" borderId="2" xfId="0" applyNumberFormat="1" applyFont="1" applyFill="1" applyBorder="1" applyAlignment="1">
      <alignment horizontal="right" vertical="center"/>
    </xf>
    <xf numFmtId="166" fontId="0" fillId="3" borderId="2" xfId="0" applyNumberFormat="1" applyFill="1" applyBorder="1" applyAlignment="1">
      <alignment horizontal="right"/>
    </xf>
    <xf numFmtId="9" fontId="3" fillId="3" borderId="2" xfId="3" applyFont="1" applyFill="1" applyBorder="1" applyAlignment="1">
      <alignment horizontal="right"/>
    </xf>
    <xf numFmtId="0" fontId="0" fillId="0" borderId="0" xfId="0" applyFill="1" applyAlignment="1">
      <alignment horizontal="right" vertical="center"/>
    </xf>
    <xf numFmtId="0" fontId="0" fillId="0" borderId="2" xfId="0" applyBorder="1" applyAlignment="1">
      <alignment horizontal="left" vertical="center"/>
    </xf>
    <xf numFmtId="0" fontId="9" fillId="10" borderId="2" xfId="0" applyFont="1" applyFill="1" applyBorder="1"/>
    <xf numFmtId="0" fontId="9" fillId="10" borderId="2" xfId="0" applyFont="1" applyFill="1" applyBorder="1" applyAlignment="1">
      <alignment horizontal="center" vertical="center"/>
    </xf>
    <xf numFmtId="0" fontId="9" fillId="3" borderId="2" xfId="0" applyFont="1" applyFill="1" applyBorder="1" applyAlignment="1">
      <alignment horizontal="right" vertical="center"/>
    </xf>
    <xf numFmtId="1" fontId="0" fillId="3" borderId="2" xfId="0" applyNumberFormat="1" applyFill="1" applyBorder="1" applyAlignment="1">
      <alignment horizontal="right" vertical="center"/>
    </xf>
    <xf numFmtId="1" fontId="9" fillId="3" borderId="2" xfId="0" applyNumberFormat="1" applyFont="1" applyFill="1" applyBorder="1" applyAlignment="1">
      <alignment horizontal="right" vertical="center"/>
    </xf>
    <xf numFmtId="0" fontId="9" fillId="10" borderId="2" xfId="0" applyFont="1" applyFill="1" applyBorder="1" applyAlignment="1">
      <alignment horizontal="left" vertical="center"/>
    </xf>
    <xf numFmtId="164" fontId="9" fillId="3" borderId="2" xfId="0" applyNumberFormat="1" applyFont="1" applyFill="1" applyBorder="1" applyAlignment="1">
      <alignment horizontal="right" vertical="center"/>
    </xf>
    <xf numFmtId="2" fontId="0" fillId="3" borderId="2" xfId="0" applyNumberFormat="1" applyFill="1" applyBorder="1" applyAlignment="1">
      <alignment horizontal="right" vertical="center"/>
    </xf>
    <xf numFmtId="10" fontId="3" fillId="3" borderId="2" xfId="3" applyNumberFormat="1" applyFont="1" applyFill="1" applyBorder="1" applyAlignment="1">
      <alignment horizontal="right" vertical="center"/>
    </xf>
    <xf numFmtId="10" fontId="9" fillId="3" borderId="2" xfId="3" applyNumberFormat="1" applyFont="1" applyFill="1" applyBorder="1"/>
    <xf numFmtId="2" fontId="9" fillId="3" borderId="2" xfId="3" applyNumberFormat="1" applyFont="1" applyFill="1" applyBorder="1"/>
    <xf numFmtId="2" fontId="0" fillId="3" borderId="2" xfId="0" applyNumberFormat="1" applyFill="1" applyBorder="1" applyAlignment="1">
      <alignment horizontal="left" vertical="center"/>
    </xf>
    <xf numFmtId="0" fontId="0" fillId="6" borderId="2" xfId="0" applyFill="1" applyBorder="1" applyAlignment="1">
      <alignment horizontal="left" vertical="center"/>
    </xf>
    <xf numFmtId="2" fontId="0" fillId="4" borderId="2" xfId="0" applyNumberFormat="1" applyFill="1" applyBorder="1" applyAlignment="1">
      <alignment horizontal="left" vertical="center"/>
    </xf>
    <xf numFmtId="2" fontId="0" fillId="4" borderId="2" xfId="0" applyNumberFormat="1" applyFill="1" applyBorder="1"/>
    <xf numFmtId="167" fontId="3" fillId="4" borderId="2" xfId="3" applyNumberFormat="1" applyFont="1" applyFill="1" applyBorder="1" applyAlignment="1">
      <alignment horizontal="right" vertical="center"/>
    </xf>
    <xf numFmtId="0" fontId="11" fillId="2" borderId="1" xfId="0" applyFont="1" applyFill="1" applyBorder="1" applyAlignment="1">
      <alignment horizontal="left" vertical="center" wrapText="1"/>
    </xf>
    <xf numFmtId="2" fontId="0" fillId="0" borderId="0" xfId="0" applyNumberFormat="1" applyFill="1"/>
    <xf numFmtId="166" fontId="0" fillId="2" borderId="0" xfId="0" applyNumberFormat="1" applyFill="1" applyAlignment="1">
      <alignment horizontal="right" vertical="center"/>
    </xf>
    <xf numFmtId="0" fontId="8" fillId="2" borderId="0" xfId="2" applyFont="1" applyFill="1" applyAlignment="1" applyProtection="1">
      <alignment horizontal="left" vertical="center"/>
    </xf>
    <xf numFmtId="166" fontId="10" fillId="3" borderId="2" xfId="0" applyNumberFormat="1" applyFont="1" applyFill="1" applyBorder="1" applyAlignment="1">
      <alignment horizontal="right" vertical="center"/>
    </xf>
    <xf numFmtId="0" fontId="4" fillId="2" borderId="0" xfId="2" applyFont="1" applyFill="1" applyAlignment="1" applyProtection="1">
      <alignment horizontal="left" vertical="center"/>
    </xf>
    <xf numFmtId="166" fontId="0" fillId="3" borderId="2" xfId="0" applyNumberFormat="1" applyFill="1" applyBorder="1" applyAlignment="1">
      <alignment horizontal="left" vertical="center"/>
    </xf>
    <xf numFmtId="1" fontId="8" fillId="2" borderId="0" xfId="0" applyNumberFormat="1" applyFont="1" applyFill="1" applyAlignment="1">
      <alignment horizontal="right" vertical="center"/>
    </xf>
    <xf numFmtId="2" fontId="8" fillId="2" borderId="0" xfId="0" applyNumberFormat="1" applyFont="1" applyFill="1" applyAlignment="1">
      <alignment horizontal="right" vertical="center"/>
    </xf>
    <xf numFmtId="2" fontId="8" fillId="2" borderId="0" xfId="2" applyNumberFormat="1" applyFont="1" applyFill="1" applyAlignment="1" applyProtection="1">
      <alignment horizontal="right" vertical="center" wrapText="1"/>
    </xf>
    <xf numFmtId="165" fontId="8" fillId="2" borderId="0" xfId="0" applyNumberFormat="1" applyFont="1" applyFill="1" applyAlignment="1">
      <alignment horizontal="right" vertical="center"/>
    </xf>
    <xf numFmtId="0" fontId="0" fillId="5" borderId="0" xfId="0" applyFill="1"/>
    <xf numFmtId="0" fontId="12" fillId="5" borderId="0" xfId="0" applyFont="1" applyFill="1"/>
    <xf numFmtId="0" fontId="0" fillId="0" borderId="0" xfId="0" applyFill="1" applyBorder="1" applyAlignment="1">
      <alignment vertical="center"/>
    </xf>
    <xf numFmtId="0" fontId="0" fillId="0" borderId="0" xfId="0" applyAlignment="1">
      <alignment horizontal="center" vertical="center"/>
    </xf>
    <xf numFmtId="0" fontId="0" fillId="0" borderId="0" xfId="0" applyAlignment="1">
      <alignment vertical="center"/>
    </xf>
    <xf numFmtId="0" fontId="9" fillId="0" borderId="0" xfId="0" applyFont="1" applyAlignment="1">
      <alignment horizontal="center" vertical="center"/>
    </xf>
    <xf numFmtId="0" fontId="0" fillId="0" borderId="0" xfId="0" applyFill="1" applyBorder="1" applyAlignment="1">
      <alignment horizontal="center" vertical="center"/>
    </xf>
    <xf numFmtId="11" fontId="0" fillId="0" borderId="0" xfId="0" applyNumberFormat="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1" fontId="0" fillId="0" borderId="0" xfId="0" applyNumberFormat="1" applyAlignment="1">
      <alignment horizontal="left" vertical="center"/>
    </xf>
    <xf numFmtId="0" fontId="10" fillId="0" borderId="0" xfId="0" applyFont="1" applyFill="1" applyAlignment="1">
      <alignment horizontal="center" vertical="center"/>
    </xf>
    <xf numFmtId="0" fontId="10" fillId="0" borderId="0" xfId="0" applyFont="1" applyFill="1" applyAlignment="1">
      <alignment vertical="center"/>
    </xf>
    <xf numFmtId="0" fontId="10" fillId="0" borderId="0" xfId="0" applyFont="1" applyFill="1" applyAlignment="1">
      <alignment horizontal="left" vertical="center"/>
    </xf>
    <xf numFmtId="0" fontId="10" fillId="0" borderId="0" xfId="0" applyFont="1" applyAlignment="1">
      <alignment horizontal="left"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0" fillId="0" borderId="0" xfId="0" applyFont="1" applyAlignment="1">
      <alignment horizontal="center" vertical="center"/>
    </xf>
    <xf numFmtId="0" fontId="20" fillId="0" borderId="0" xfId="0" applyFont="1" applyFill="1" applyAlignment="1">
      <alignment horizontal="center" vertical="center"/>
    </xf>
    <xf numFmtId="0" fontId="15" fillId="0" borderId="0" xfId="0" applyFont="1" applyFill="1" applyAlignment="1">
      <alignment horizontal="center" vertical="center"/>
    </xf>
    <xf numFmtId="0" fontId="10" fillId="0" borderId="0" xfId="0" applyFont="1" applyFill="1" applyBorder="1" applyAlignment="1">
      <alignment vertical="center"/>
    </xf>
    <xf numFmtId="0" fontId="10" fillId="0" borderId="0" xfId="0" applyFont="1" applyBorder="1" applyAlignment="1">
      <alignment horizontal="center" vertical="center"/>
    </xf>
    <xf numFmtId="0" fontId="20" fillId="0" borderId="8"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0" xfId="0" applyFont="1" applyBorder="1" applyAlignment="1">
      <alignment horizontal="left" vertical="center"/>
    </xf>
    <xf numFmtId="0" fontId="10" fillId="0" borderId="0" xfId="0" applyFont="1" applyFill="1" applyBorder="1" applyAlignment="1">
      <alignment horizontal="left" vertical="center"/>
    </xf>
    <xf numFmtId="165" fontId="10" fillId="0" borderId="0" xfId="0" applyNumberFormat="1" applyFont="1" applyFill="1" applyBorder="1" applyAlignment="1">
      <alignment horizontal="center" vertical="center"/>
    </xf>
    <xf numFmtId="0" fontId="15" fillId="0" borderId="0" xfId="0" applyFont="1" applyFill="1" applyBorder="1" applyAlignment="1">
      <alignment vertical="center"/>
    </xf>
    <xf numFmtId="0" fontId="19" fillId="0" borderId="0" xfId="8" applyFont="1" applyAlignment="1">
      <alignment horizontal="center" vertical="center" wrapText="1"/>
    </xf>
    <xf numFmtId="0" fontId="9" fillId="0" borderId="0" xfId="0" applyFont="1" applyFill="1" applyAlignment="1">
      <alignment horizontal="center" vertical="center"/>
    </xf>
    <xf numFmtId="0" fontId="15" fillId="0" borderId="0" xfId="0" applyFont="1" applyBorder="1" applyAlignment="1">
      <alignment horizontal="center" vertical="center"/>
    </xf>
    <xf numFmtId="169" fontId="10" fillId="0" borderId="0" xfId="0" applyNumberFormat="1" applyFont="1" applyFill="1" applyBorder="1" applyAlignment="1">
      <alignment horizontal="center" vertical="center"/>
    </xf>
    <xf numFmtId="11" fontId="10" fillId="12" borderId="0" xfId="0" applyNumberFormat="1" applyFont="1" applyFill="1" applyBorder="1" applyAlignment="1">
      <alignment horizontal="center" vertical="center"/>
    </xf>
    <xf numFmtId="9" fontId="10" fillId="4" borderId="0" xfId="3" applyFont="1" applyFill="1" applyBorder="1" applyAlignment="1">
      <alignment horizontal="center" vertical="center"/>
    </xf>
    <xf numFmtId="0" fontId="10" fillId="4" borderId="0" xfId="0" applyFont="1" applyFill="1" applyAlignment="1">
      <alignment vertical="center"/>
    </xf>
    <xf numFmtId="0" fontId="10" fillId="13" borderId="0" xfId="0" applyFont="1" applyFill="1" applyAlignment="1">
      <alignment vertical="center"/>
    </xf>
    <xf numFmtId="0" fontId="10" fillId="12" borderId="0" xfId="0" applyFont="1" applyFill="1" applyAlignment="1">
      <alignment vertical="center"/>
    </xf>
    <xf numFmtId="11" fontId="10" fillId="13" borderId="0" xfId="0" applyNumberFormat="1" applyFont="1" applyFill="1" applyBorder="1" applyAlignment="1">
      <alignment horizontal="center" vertical="center"/>
    </xf>
    <xf numFmtId="11" fontId="10" fillId="12" borderId="1" xfId="0" applyNumberFormat="1" applyFont="1" applyFill="1" applyBorder="1" applyAlignment="1">
      <alignment horizontal="center" vertical="center"/>
    </xf>
    <xf numFmtId="11" fontId="0" fillId="0" borderId="0" xfId="0" applyNumberFormat="1" applyFill="1" applyAlignment="1">
      <alignment horizontal="center" vertical="center"/>
    </xf>
    <xf numFmtId="9" fontId="10" fillId="13" borderId="0" xfId="0" applyNumberFormat="1" applyFont="1" applyFill="1" applyBorder="1" applyAlignment="1">
      <alignment horizontal="center" vertical="center"/>
    </xf>
    <xf numFmtId="2" fontId="10" fillId="4" borderId="0" xfId="0" applyNumberFormat="1" applyFont="1" applyFill="1" applyBorder="1" applyAlignment="1">
      <alignment horizontal="center" vertical="center"/>
    </xf>
    <xf numFmtId="1" fontId="10" fillId="4" borderId="0" xfId="0" applyNumberFormat="1" applyFont="1" applyFill="1" applyBorder="1" applyAlignment="1">
      <alignment horizontal="center" vertical="center"/>
    </xf>
    <xf numFmtId="1" fontId="10" fillId="13" borderId="0" xfId="0" applyNumberFormat="1" applyFont="1" applyFill="1" applyBorder="1" applyAlignment="1">
      <alignment horizontal="center" vertical="center"/>
    </xf>
    <xf numFmtId="0" fontId="9" fillId="0" borderId="0" xfId="0" applyFont="1" applyFill="1" applyAlignment="1">
      <alignment vertical="center"/>
    </xf>
    <xf numFmtId="0" fontId="9" fillId="0" borderId="0" xfId="0" applyFont="1" applyAlignment="1">
      <alignment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19" fillId="0" borderId="0" xfId="8" applyFont="1" applyAlignment="1">
      <alignment horizontal="left" vertical="center" wrapText="1"/>
    </xf>
    <xf numFmtId="0" fontId="10" fillId="13" borderId="0" xfId="0" applyNumberFormat="1" applyFont="1" applyFill="1" applyBorder="1" applyAlignment="1">
      <alignment horizontal="center" vertical="center"/>
    </xf>
    <xf numFmtId="0" fontId="10" fillId="0" borderId="0" xfId="0" applyFont="1" applyFill="1" applyBorder="1" applyAlignment="1">
      <alignment horizontal="left" vertical="center"/>
    </xf>
    <xf numFmtId="0" fontId="15" fillId="0" borderId="0" xfId="0" applyFont="1" applyFill="1" applyBorder="1" applyAlignment="1">
      <alignment horizontal="left" vertical="center"/>
    </xf>
    <xf numFmtId="0" fontId="10" fillId="0" borderId="0" xfId="0" applyFont="1" applyFill="1" applyBorder="1" applyAlignment="1">
      <alignment horizontal="left" vertical="center"/>
    </xf>
    <xf numFmtId="0" fontId="10" fillId="14" borderId="0" xfId="0" applyFont="1" applyFill="1" applyAlignment="1">
      <alignment horizontal="center" vertical="center"/>
    </xf>
    <xf numFmtId="0" fontId="20" fillId="14" borderId="0" xfId="0" applyFont="1" applyFill="1" applyAlignment="1">
      <alignment horizontal="center" vertical="center"/>
    </xf>
    <xf numFmtId="0" fontId="10" fillId="14"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4" borderId="0"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0" xfId="0" applyFont="1" applyFill="1" applyAlignment="1">
      <alignment horizontal="left" vertical="center" wrapText="1"/>
    </xf>
    <xf numFmtId="1" fontId="22" fillId="0" borderId="0" xfId="0" applyNumberFormat="1" applyFont="1" applyFill="1" applyBorder="1" applyAlignment="1">
      <alignment horizontal="left" vertical="center"/>
    </xf>
    <xf numFmtId="0" fontId="22" fillId="0" borderId="0" xfId="0" applyFont="1" applyFill="1" applyBorder="1" applyAlignment="1">
      <alignment horizontal="left" vertical="center"/>
    </xf>
    <xf numFmtId="0" fontId="10" fillId="0" borderId="0" xfId="0" applyFont="1" applyFill="1" applyBorder="1" applyAlignment="1">
      <alignment horizontal="left" vertical="center"/>
    </xf>
    <xf numFmtId="0" fontId="10" fillId="0" borderId="0" xfId="0" applyFont="1" applyFill="1" applyBorder="1" applyAlignment="1">
      <alignment horizontal="right" vertical="center"/>
    </xf>
    <xf numFmtId="9" fontId="10" fillId="13" borderId="1" xfId="3" applyFont="1" applyFill="1" applyBorder="1" applyAlignment="1">
      <alignment horizontal="center" vertical="center"/>
    </xf>
    <xf numFmtId="2" fontId="10" fillId="0" borderId="0" xfId="0" applyNumberFormat="1" applyFont="1" applyFill="1" applyBorder="1" applyAlignment="1">
      <alignment horizontal="center" vertical="center"/>
    </xf>
    <xf numFmtId="11" fontId="10" fillId="0" borderId="0" xfId="0" applyNumberFormat="1" applyFont="1" applyFill="1" applyBorder="1" applyAlignment="1">
      <alignment horizontal="center" vertical="center"/>
    </xf>
    <xf numFmtId="9" fontId="0" fillId="0" borderId="0" xfId="3" applyFont="1" applyAlignment="1">
      <alignment horizontal="center" vertical="center"/>
    </xf>
    <xf numFmtId="0" fontId="18" fillId="0" borderId="0" xfId="0" applyFont="1" applyFill="1" applyAlignment="1">
      <alignment vertical="center"/>
    </xf>
    <xf numFmtId="0" fontId="10" fillId="0" borderId="0" xfId="0" applyFont="1" applyAlignment="1">
      <alignment horizontal="center" vertical="center" wrapText="1"/>
    </xf>
    <xf numFmtId="49" fontId="0" fillId="0" borderId="0" xfId="0" applyNumberFormat="1" applyAlignment="1">
      <alignment horizontal="center" vertical="center"/>
    </xf>
    <xf numFmtId="49" fontId="0" fillId="0" borderId="0" xfId="0" applyNumberFormat="1" applyFill="1" applyAlignment="1">
      <alignment horizontal="center" vertical="center"/>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Fill="1" applyBorder="1" applyAlignment="1">
      <alignment horizontal="center" vertical="center"/>
    </xf>
    <xf numFmtId="0" fontId="0" fillId="0" borderId="0" xfId="0" applyAlignment="1">
      <alignment horizontal="center" vertical="center"/>
    </xf>
    <xf numFmtId="0" fontId="10" fillId="0" borderId="1" xfId="0" applyFont="1" applyFill="1" applyBorder="1" applyAlignment="1">
      <alignment horizontal="center" vertical="center"/>
    </xf>
    <xf numFmtId="0" fontId="0" fillId="0" borderId="0" xfId="0" applyFill="1" applyAlignment="1">
      <alignment horizontal="center" vertical="center"/>
    </xf>
    <xf numFmtId="0" fontId="18" fillId="0" borderId="0" xfId="0" applyFont="1" applyFill="1" applyAlignment="1">
      <alignment horizontal="left" vertical="center"/>
    </xf>
    <xf numFmtId="0" fontId="0" fillId="0" borderId="0" xfId="0" applyAlignment="1">
      <alignment horizontal="center" vertical="center"/>
    </xf>
    <xf numFmtId="0" fontId="10" fillId="0" borderId="0" xfId="0" applyFont="1" applyFill="1" applyBorder="1" applyAlignment="1">
      <alignment horizontal="center" vertical="center"/>
    </xf>
    <xf numFmtId="0" fontId="0" fillId="0" borderId="0" xfId="0" applyFill="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9" xfId="0" applyFont="1" applyFill="1" applyBorder="1" applyAlignment="1">
      <alignment horizontal="center" vertical="center"/>
    </xf>
    <xf numFmtId="0" fontId="10" fillId="0" borderId="0" xfId="0" applyFont="1" applyFill="1" applyBorder="1" applyAlignment="1">
      <alignment vertical="center" wrapText="1"/>
    </xf>
    <xf numFmtId="165" fontId="0" fillId="0" borderId="0" xfId="0" applyNumberFormat="1" applyFill="1" applyAlignment="1">
      <alignment horizontal="center" vertical="center"/>
    </xf>
    <xf numFmtId="9" fontId="0" fillId="0" borderId="0" xfId="0" applyNumberFormat="1" applyFill="1" applyAlignment="1">
      <alignment horizontal="center" vertical="center"/>
    </xf>
    <xf numFmtId="10" fontId="0" fillId="0" borderId="0" xfId="0" applyNumberFormat="1" applyFill="1" applyAlignment="1">
      <alignment horizontal="center" vertical="center"/>
    </xf>
    <xf numFmtId="0" fontId="10" fillId="0" borderId="0" xfId="0" applyFont="1" applyFill="1" applyAlignment="1">
      <alignment horizontal="center" vertical="center" wrapText="1"/>
    </xf>
    <xf numFmtId="9" fontId="10" fillId="0" borderId="1" xfId="0" applyNumberFormat="1" applyFont="1" applyFill="1" applyBorder="1" applyAlignment="1">
      <alignment horizontal="center" vertical="center"/>
    </xf>
    <xf numFmtId="1" fontId="10" fillId="0" borderId="0" xfId="0" applyNumberFormat="1" applyFont="1" applyFill="1" applyBorder="1" applyAlignment="1">
      <alignment horizontal="center" vertical="center"/>
    </xf>
    <xf numFmtId="9" fontId="10" fillId="0" borderId="0" xfId="3" applyFont="1" applyFill="1" applyBorder="1" applyAlignment="1">
      <alignment horizontal="center" vertical="center"/>
    </xf>
    <xf numFmtId="0" fontId="10" fillId="13" borderId="0" xfId="0" applyFont="1" applyFill="1" applyBorder="1" applyAlignment="1">
      <alignment horizontal="center" vertical="center"/>
    </xf>
    <xf numFmtId="168" fontId="10" fillId="13" borderId="0" xfId="3" applyNumberFormat="1" applyFont="1" applyFill="1" applyBorder="1" applyAlignment="1">
      <alignment horizontal="center" vertical="center"/>
    </xf>
    <xf numFmtId="0" fontId="9" fillId="0" borderId="6" xfId="0" applyFont="1" applyBorder="1" applyAlignment="1">
      <alignment horizontal="left"/>
    </xf>
    <xf numFmtId="0" fontId="9" fillId="0" borderId="3" xfId="0" applyFont="1" applyBorder="1" applyAlignment="1">
      <alignment horizontal="left"/>
    </xf>
    <xf numFmtId="0" fontId="15" fillId="11" borderId="2" xfId="0" applyFont="1" applyFill="1" applyBorder="1" applyAlignment="1">
      <alignment horizontal="left" vertical="center"/>
    </xf>
    <xf numFmtId="0" fontId="15" fillId="11" borderId="5" xfId="0" applyFont="1" applyFill="1" applyBorder="1" applyAlignment="1">
      <alignment horizontal="left" vertical="center"/>
    </xf>
    <xf numFmtId="0" fontId="9" fillId="11" borderId="2" xfId="0" applyFont="1" applyFill="1" applyBorder="1" applyAlignment="1">
      <alignment horizontal="left" vertical="center"/>
    </xf>
    <xf numFmtId="0" fontId="15" fillId="11" borderId="6" xfId="0" applyFont="1" applyFill="1" applyBorder="1" applyAlignment="1">
      <alignment horizontal="left" vertical="center"/>
    </xf>
    <xf numFmtId="0" fontId="15" fillId="11" borderId="4" xfId="0" applyFont="1" applyFill="1" applyBorder="1" applyAlignment="1">
      <alignment horizontal="left" vertical="center"/>
    </xf>
    <xf numFmtId="0" fontId="15" fillId="11" borderId="10" xfId="0" applyFont="1" applyFill="1" applyBorder="1" applyAlignment="1">
      <alignment horizontal="left" vertical="center"/>
    </xf>
    <xf numFmtId="9" fontId="9" fillId="3" borderId="7" xfId="3" applyFont="1" applyFill="1" applyBorder="1" applyAlignment="1">
      <alignment horizontal="center" vertical="center"/>
    </xf>
    <xf numFmtId="9" fontId="9" fillId="3" borderId="5" xfId="3" applyFont="1" applyFill="1" applyBorder="1" applyAlignment="1">
      <alignment horizontal="center" vertical="center"/>
    </xf>
    <xf numFmtId="0" fontId="8" fillId="2" borderId="0" xfId="2" applyFont="1" applyFill="1" applyAlignment="1" applyProtection="1">
      <alignment horizontal="left" vertical="center"/>
    </xf>
  </cellXfs>
  <cellStyles count="9">
    <cellStyle name="Normal 2" xfId="5" xr:uid="{C6B5E21C-0CA9-4EB8-891C-6B518BF6684C}"/>
    <cellStyle name="Normal 3" xfId="4" xr:uid="{1B31F4E5-6820-493E-9E56-55537CD3CE96}"/>
    <cellStyle name="Normal 3 2" xfId="6" xr:uid="{22418201-D49F-4A51-B49C-4E6DF1A02139}"/>
    <cellStyle name="Normale" xfId="0" builtinId="0"/>
    <cellStyle name="Normale 2" xfId="1" xr:uid="{00000000-0005-0000-0000-000001000000}"/>
    <cellStyle name="Normale 2 2" xfId="7" xr:uid="{DB452A8B-FDC7-4360-9C30-C31F29D839A7}"/>
    <cellStyle name="Normale 2 3" xfId="8" xr:uid="{08C505A3-5205-4684-9246-B4B98C6B86A4}"/>
    <cellStyle name="Normale 3" xfId="2" xr:uid="{00000000-0005-0000-0000-000002000000}"/>
    <cellStyle name="Percentuale" xfId="3" builtinId="5"/>
  </cellStyles>
  <dxfs count="0"/>
  <tableStyles count="0" defaultTableStyle="TableStyleMedium2" defaultPivotStyle="PivotStyleLight16"/>
  <colors>
    <mruColors>
      <color rgb="FFFFFF99"/>
      <color rgb="FF66FFFF"/>
      <color rgb="FFFFFFCC"/>
      <color rgb="FF997300"/>
      <color rgb="FF996633"/>
      <color rgb="FF0000FF"/>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png"/><Relationship Id="rId5" Type="http://schemas.openxmlformats.org/officeDocument/2006/relationships/image" Target="../media/image10.jp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11</xdr:col>
      <xdr:colOff>43848</xdr:colOff>
      <xdr:row>1</xdr:row>
      <xdr:rowOff>105540</xdr:rowOff>
    </xdr:from>
    <xdr:to>
      <xdr:col>12</xdr:col>
      <xdr:colOff>478730</xdr:colOff>
      <xdr:row>6</xdr:row>
      <xdr:rowOff>87387</xdr:rowOff>
    </xdr:to>
    <xdr:pic>
      <xdr:nvPicPr>
        <xdr:cNvPr id="3" name="Immagine 2">
          <a:extLst>
            <a:ext uri="{FF2B5EF4-FFF2-40B4-BE49-F238E27FC236}">
              <a16:creationId xmlns:a16="http://schemas.microsoft.com/office/drawing/2014/main" id="{52623159-78AE-4307-BD1C-EDE7E5913E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9108" y="288420"/>
          <a:ext cx="1044482" cy="896247"/>
        </a:xfrm>
        <a:prstGeom prst="rect">
          <a:avLst/>
        </a:prstGeom>
        <a:ln>
          <a:solidFill>
            <a:schemeClr val="tx1">
              <a:lumMod val="50000"/>
              <a:lumOff val="50000"/>
            </a:schemeClr>
          </a:solidFill>
        </a:ln>
      </xdr:spPr>
    </xdr:pic>
    <xdr:clientData/>
  </xdr:twoCellAnchor>
  <xdr:twoCellAnchor editAs="oneCell">
    <xdr:from>
      <xdr:col>7</xdr:col>
      <xdr:colOff>74001</xdr:colOff>
      <xdr:row>1</xdr:row>
      <xdr:rowOff>152400</xdr:rowOff>
    </xdr:from>
    <xdr:to>
      <xdr:col>9</xdr:col>
      <xdr:colOff>27880</xdr:colOff>
      <xdr:row>6</xdr:row>
      <xdr:rowOff>22860</xdr:rowOff>
    </xdr:to>
    <xdr:pic>
      <xdr:nvPicPr>
        <xdr:cNvPr id="4" name="Immagine 3">
          <a:extLst>
            <a:ext uri="{FF2B5EF4-FFF2-40B4-BE49-F238E27FC236}">
              <a16:creationId xmlns:a16="http://schemas.microsoft.com/office/drawing/2014/main" id="{27F16B06-7BE0-4A20-8057-0BA43F81EF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0324" b="12770"/>
        <a:stretch/>
      </xdr:blipFill>
      <xdr:spPr>
        <a:xfrm>
          <a:off x="5430861" y="335280"/>
          <a:ext cx="1173079" cy="784860"/>
        </a:xfrm>
        <a:prstGeom prst="rect">
          <a:avLst/>
        </a:prstGeom>
        <a:ln>
          <a:solidFill>
            <a:schemeClr val="tx1">
              <a:lumMod val="50000"/>
              <a:lumOff val="50000"/>
            </a:schemeClr>
          </a:solidFill>
        </a:ln>
      </xdr:spPr>
    </xdr:pic>
    <xdr:clientData/>
  </xdr:twoCellAnchor>
  <xdr:twoCellAnchor editAs="oneCell">
    <xdr:from>
      <xdr:col>9</xdr:col>
      <xdr:colOff>76200</xdr:colOff>
      <xdr:row>1</xdr:row>
      <xdr:rowOff>59531</xdr:rowOff>
    </xdr:from>
    <xdr:to>
      <xdr:col>10</xdr:col>
      <xdr:colOff>561041</xdr:colOff>
      <xdr:row>6</xdr:row>
      <xdr:rowOff>83820</xdr:rowOff>
    </xdr:to>
    <xdr:pic>
      <xdr:nvPicPr>
        <xdr:cNvPr id="5" name="Immagine 4">
          <a:extLst>
            <a:ext uri="{FF2B5EF4-FFF2-40B4-BE49-F238E27FC236}">
              <a16:creationId xmlns:a16="http://schemas.microsoft.com/office/drawing/2014/main" id="{AF0207ED-7160-41CF-98B9-05666D35B2B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811" b="12088"/>
        <a:stretch/>
      </xdr:blipFill>
      <xdr:spPr>
        <a:xfrm>
          <a:off x="6652260" y="242411"/>
          <a:ext cx="1094441" cy="938689"/>
        </a:xfrm>
        <a:prstGeom prst="rect">
          <a:avLst/>
        </a:prstGeom>
        <a:ln>
          <a:solidFill>
            <a:schemeClr val="tx1">
              <a:lumMod val="50000"/>
              <a:lumOff val="50000"/>
            </a:schemeClr>
          </a:solidFill>
        </a:ln>
      </xdr:spPr>
    </xdr:pic>
    <xdr:clientData/>
  </xdr:twoCellAnchor>
  <xdr:twoCellAnchor editAs="oneCell">
    <xdr:from>
      <xdr:col>5</xdr:col>
      <xdr:colOff>114301</xdr:colOff>
      <xdr:row>1</xdr:row>
      <xdr:rowOff>91440</xdr:rowOff>
    </xdr:from>
    <xdr:to>
      <xdr:col>7</xdr:col>
      <xdr:colOff>30481</xdr:colOff>
      <xdr:row>6</xdr:row>
      <xdr:rowOff>121920</xdr:rowOff>
    </xdr:to>
    <xdr:pic>
      <xdr:nvPicPr>
        <xdr:cNvPr id="7" name="Immagine 6">
          <a:extLst>
            <a:ext uri="{FF2B5EF4-FFF2-40B4-BE49-F238E27FC236}">
              <a16:creationId xmlns:a16="http://schemas.microsoft.com/office/drawing/2014/main" id="{60D593B5-BBC7-497B-BE78-E792865BA84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6772" t="21537" r="3866" b="21478"/>
        <a:stretch/>
      </xdr:blipFill>
      <xdr:spPr>
        <a:xfrm>
          <a:off x="4251961" y="274320"/>
          <a:ext cx="1135380" cy="944880"/>
        </a:xfrm>
        <a:prstGeom prst="rect">
          <a:avLst/>
        </a:prstGeom>
        <a:ln>
          <a:solidFill>
            <a:schemeClr val="tx1">
              <a:lumMod val="50000"/>
              <a:lumOff val="50000"/>
            </a:schemeClr>
          </a:solidFill>
        </a:ln>
      </xdr:spPr>
    </xdr:pic>
    <xdr:clientData/>
  </xdr:twoCellAnchor>
  <xdr:twoCellAnchor editAs="oneCell">
    <xdr:from>
      <xdr:col>12</xdr:col>
      <xdr:colOff>547735</xdr:colOff>
      <xdr:row>1</xdr:row>
      <xdr:rowOff>61655</xdr:rowOff>
    </xdr:from>
    <xdr:to>
      <xdr:col>15</xdr:col>
      <xdr:colOff>903</xdr:colOff>
      <xdr:row>6</xdr:row>
      <xdr:rowOff>52644</xdr:rowOff>
    </xdr:to>
    <xdr:pic>
      <xdr:nvPicPr>
        <xdr:cNvPr id="9" name="Immagine 8">
          <a:extLst>
            <a:ext uri="{FF2B5EF4-FFF2-40B4-BE49-F238E27FC236}">
              <a16:creationId xmlns:a16="http://schemas.microsoft.com/office/drawing/2014/main" id="{CF1B6607-CCFB-4417-A9D1-C3B54B0FDAA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083" t="6506" r="4988" b="4805"/>
        <a:stretch/>
      </xdr:blipFill>
      <xdr:spPr>
        <a:xfrm>
          <a:off x="8952595" y="244535"/>
          <a:ext cx="1281968" cy="905389"/>
        </a:xfrm>
        <a:prstGeom prst="rect">
          <a:avLst/>
        </a:prstGeom>
        <a:ln>
          <a:solidFill>
            <a:schemeClr val="tx1">
              <a:lumMod val="50000"/>
              <a:lumOff val="50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190534</xdr:colOff>
      <xdr:row>2</xdr:row>
      <xdr:rowOff>177069</xdr:rowOff>
    </xdr:from>
    <xdr:to>
      <xdr:col>12</xdr:col>
      <xdr:colOff>533369</xdr:colOff>
      <xdr:row>9</xdr:row>
      <xdr:rowOff>21193</xdr:rowOff>
    </xdr:to>
    <xdr:pic>
      <xdr:nvPicPr>
        <xdr:cNvPr id="11" name="Immagine 10">
          <a:extLst>
            <a:ext uri="{FF2B5EF4-FFF2-40B4-BE49-F238E27FC236}">
              <a16:creationId xmlns:a16="http://schemas.microsoft.com/office/drawing/2014/main" id="{C12C75E4-4399-41C2-91DC-1CD73C981D9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3033"/>
        <a:stretch/>
      </xdr:blipFill>
      <xdr:spPr>
        <a:xfrm>
          <a:off x="9669814" y="542829"/>
          <a:ext cx="952435" cy="1124284"/>
        </a:xfrm>
        <a:prstGeom prst="rect">
          <a:avLst/>
        </a:prstGeom>
        <a:ln>
          <a:solidFill>
            <a:schemeClr val="tx1">
              <a:lumMod val="50000"/>
              <a:lumOff val="50000"/>
            </a:schemeClr>
          </a:solidFill>
        </a:ln>
      </xdr:spPr>
    </xdr:pic>
    <xdr:clientData/>
  </xdr:twoCellAnchor>
  <xdr:twoCellAnchor editAs="oneCell">
    <xdr:from>
      <xdr:col>9</xdr:col>
      <xdr:colOff>563199</xdr:colOff>
      <xdr:row>2</xdr:row>
      <xdr:rowOff>171455</xdr:rowOff>
    </xdr:from>
    <xdr:to>
      <xdr:col>11</xdr:col>
      <xdr:colOff>122602</xdr:colOff>
      <xdr:row>8</xdr:row>
      <xdr:rowOff>156204</xdr:rowOff>
    </xdr:to>
    <xdr:pic>
      <xdr:nvPicPr>
        <xdr:cNvPr id="25" name="Immagine 24">
          <a:extLst>
            <a:ext uri="{FF2B5EF4-FFF2-40B4-BE49-F238E27FC236}">
              <a16:creationId xmlns:a16="http://schemas.microsoft.com/office/drawing/2014/main" id="{FE3602C6-0156-4CB0-98C4-F37B4A3006E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4210" t="8697" r="25683" b="14300"/>
        <a:stretch/>
      </xdr:blipFill>
      <xdr:spPr>
        <a:xfrm>
          <a:off x="8823279" y="537215"/>
          <a:ext cx="778603" cy="1082029"/>
        </a:xfrm>
        <a:prstGeom prst="rect">
          <a:avLst/>
        </a:prstGeom>
        <a:ln>
          <a:solidFill>
            <a:schemeClr val="tx1">
              <a:lumMod val="50000"/>
              <a:lumOff val="50000"/>
            </a:schemeClr>
          </a:solidFill>
        </a:ln>
      </xdr:spPr>
    </xdr:pic>
    <xdr:clientData/>
  </xdr:twoCellAnchor>
  <xdr:twoCellAnchor editAs="oneCell">
    <xdr:from>
      <xdr:col>7</xdr:col>
      <xdr:colOff>313210</xdr:colOff>
      <xdr:row>3</xdr:row>
      <xdr:rowOff>44221</xdr:rowOff>
    </xdr:from>
    <xdr:to>
      <xdr:col>9</xdr:col>
      <xdr:colOff>494510</xdr:colOff>
      <xdr:row>8</xdr:row>
      <xdr:rowOff>123419</xdr:rowOff>
    </xdr:to>
    <xdr:pic>
      <xdr:nvPicPr>
        <xdr:cNvPr id="27" name="Immagine 26">
          <a:extLst>
            <a:ext uri="{FF2B5EF4-FFF2-40B4-BE49-F238E27FC236}">
              <a16:creationId xmlns:a16="http://schemas.microsoft.com/office/drawing/2014/main" id="{3A8C7AB4-B3DD-429A-AF13-43E7DF8A55E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585" t="25334" r="14145" b="21265"/>
        <a:stretch/>
      </xdr:blipFill>
      <xdr:spPr>
        <a:xfrm>
          <a:off x="7354090" y="592861"/>
          <a:ext cx="1400500" cy="993598"/>
        </a:xfrm>
        <a:prstGeom prst="rect">
          <a:avLst/>
        </a:prstGeom>
        <a:ln>
          <a:solidFill>
            <a:schemeClr val="tx1">
              <a:lumMod val="50000"/>
              <a:lumOff val="50000"/>
            </a:schemeClr>
          </a:solidFill>
        </a:ln>
      </xdr:spPr>
    </xdr:pic>
    <xdr:clientData/>
  </xdr:twoCellAnchor>
  <xdr:twoCellAnchor editAs="oneCell">
    <xdr:from>
      <xdr:col>5</xdr:col>
      <xdr:colOff>594360</xdr:colOff>
      <xdr:row>3</xdr:row>
      <xdr:rowOff>0</xdr:rowOff>
    </xdr:from>
    <xdr:to>
      <xdr:col>7</xdr:col>
      <xdr:colOff>281940</xdr:colOff>
      <xdr:row>8</xdr:row>
      <xdr:rowOff>144780</xdr:rowOff>
    </xdr:to>
    <xdr:pic>
      <xdr:nvPicPr>
        <xdr:cNvPr id="7" name="Immagine 6">
          <a:extLst>
            <a:ext uri="{FF2B5EF4-FFF2-40B4-BE49-F238E27FC236}">
              <a16:creationId xmlns:a16="http://schemas.microsoft.com/office/drawing/2014/main" id="{BFFA1ABA-78EA-4B5A-9D86-D8A060853E19}"/>
            </a:ext>
          </a:extLst>
        </xdr:cNvPr>
        <xdr:cNvPicPr>
          <a:picLocks noChangeAspect="1"/>
        </xdr:cNvPicPr>
      </xdr:nvPicPr>
      <xdr:blipFill rotWithShape="1">
        <a:blip xmlns:r="http://schemas.openxmlformats.org/officeDocument/2006/relationships" r:embed="rId4"/>
        <a:srcRect l="18291" t="9718" r="14829" b="10827"/>
        <a:stretch/>
      </xdr:blipFill>
      <xdr:spPr>
        <a:xfrm>
          <a:off x="6416040" y="548640"/>
          <a:ext cx="891540" cy="1059180"/>
        </a:xfrm>
        <a:prstGeom prst="rect">
          <a:avLst/>
        </a:prstGeom>
        <a:ln>
          <a:solidFill>
            <a:schemeClr val="tx1">
              <a:lumMod val="50000"/>
              <a:lumOff val="50000"/>
            </a:schemeClr>
          </a:solidFill>
        </a:ln>
      </xdr:spPr>
    </xdr:pic>
    <xdr:clientData/>
  </xdr:twoCellAnchor>
  <xdr:twoCellAnchor editAs="oneCell">
    <xdr:from>
      <xdr:col>12</xdr:col>
      <xdr:colOff>603428</xdr:colOff>
      <xdr:row>3</xdr:row>
      <xdr:rowOff>4933</xdr:rowOff>
    </xdr:from>
    <xdr:to>
      <xdr:col>14</xdr:col>
      <xdr:colOff>291812</xdr:colOff>
      <xdr:row>8</xdr:row>
      <xdr:rowOff>153939</xdr:rowOff>
    </xdr:to>
    <xdr:pic>
      <xdr:nvPicPr>
        <xdr:cNvPr id="10" name="Immagine 9">
          <a:extLst>
            <a:ext uri="{FF2B5EF4-FFF2-40B4-BE49-F238E27FC236}">
              <a16:creationId xmlns:a16="http://schemas.microsoft.com/office/drawing/2014/main" id="{616EA048-0252-44D5-8104-9F66C857BCD0}"/>
            </a:ext>
          </a:extLst>
        </xdr:cNvPr>
        <xdr:cNvPicPr>
          <a:picLocks noChangeAspect="1"/>
        </xdr:cNvPicPr>
      </xdr:nvPicPr>
      <xdr:blipFill rotWithShape="1">
        <a:blip xmlns:r="http://schemas.openxmlformats.org/officeDocument/2006/relationships" r:embed="rId5"/>
        <a:srcRect l="23145" r="22126"/>
        <a:stretch/>
      </xdr:blipFill>
      <xdr:spPr>
        <a:xfrm>
          <a:off x="10692308" y="553573"/>
          <a:ext cx="907584" cy="1063406"/>
        </a:xfrm>
        <a:prstGeom prst="rect">
          <a:avLst/>
        </a:prstGeom>
        <a:ln>
          <a:solidFill>
            <a:schemeClr val="tx1">
              <a:lumMod val="50000"/>
              <a:lumOff val="50000"/>
            </a:schemeClr>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LABSRV\GruppoMotta\Users\Jacopo\Dropbox\Polimi\Ufficio%20Milano\PSR\Lavoro\Civardi_NH3%20e%20NO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tandards"/>
      <sheetName val="Calcolo_Azienda 1"/>
      <sheetName val="Calcolo_Azienda 2"/>
      <sheetName val="Risultati"/>
    </sheetNames>
    <sheetDataSet>
      <sheetData sheetId="0" refreshError="1"/>
      <sheetData sheetId="1" refreshError="1"/>
      <sheetData sheetId="2">
        <row r="3">
          <cell r="C3">
            <v>140</v>
          </cell>
        </row>
      </sheetData>
      <sheetData sheetId="3" refreshError="1"/>
      <sheetData sheetId="4"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tabColor rgb="FFFFFF00"/>
  </sheetPr>
  <dimension ref="A1:AC44"/>
  <sheetViews>
    <sheetView topLeftCell="A2" zoomScale="70" zoomScaleNormal="70" workbookViewId="0">
      <selection activeCell="B32" sqref="B32"/>
    </sheetView>
  </sheetViews>
  <sheetFormatPr defaultRowHeight="14.3" x14ac:dyDescent="0.25"/>
  <cols>
    <col min="2" max="2" width="27.625" customWidth="1"/>
    <col min="3" max="3" width="43.125" bestFit="1" customWidth="1"/>
    <col min="4" max="4" width="50" bestFit="1" customWidth="1"/>
    <col min="5" max="5" width="54" bestFit="1" customWidth="1"/>
    <col min="6" max="6" width="51" bestFit="1" customWidth="1"/>
    <col min="7" max="7" width="48.125" bestFit="1" customWidth="1"/>
    <col min="8" max="8" width="37.375" bestFit="1" customWidth="1"/>
    <col min="9" max="9" width="47.875" bestFit="1" customWidth="1"/>
    <col min="10" max="10" width="43.875" bestFit="1" customWidth="1"/>
    <col min="11" max="11" width="53.5" bestFit="1" customWidth="1"/>
    <col min="12" max="12" width="54" bestFit="1" customWidth="1"/>
    <col min="13" max="13" width="66.5" bestFit="1" customWidth="1"/>
    <col min="14" max="14" width="52.375" bestFit="1" customWidth="1"/>
    <col min="15" max="15" width="39.125" bestFit="1" customWidth="1"/>
    <col min="16" max="16" width="43.125" bestFit="1" customWidth="1"/>
    <col min="17" max="17" width="47.875" bestFit="1" customWidth="1"/>
    <col min="18" max="18" width="43.875" bestFit="1" customWidth="1"/>
    <col min="19" max="19" width="38.5" bestFit="1" customWidth="1"/>
    <col min="20" max="20" width="41.375" bestFit="1" customWidth="1"/>
    <col min="21" max="21" width="69.375" bestFit="1" customWidth="1"/>
    <col min="22" max="22" width="54.625" bestFit="1" customWidth="1"/>
    <col min="23" max="23" width="32" bestFit="1" customWidth="1"/>
    <col min="24" max="24" width="43.125" bestFit="1" customWidth="1"/>
    <col min="25" max="25" width="40" bestFit="1" customWidth="1"/>
    <col min="26" max="26" width="37.375" bestFit="1" customWidth="1"/>
    <col min="27" max="27" width="36.5" bestFit="1" customWidth="1"/>
    <col min="28" max="28" width="69.375" bestFit="1" customWidth="1"/>
    <col min="29" max="29" width="45.625" bestFit="1" customWidth="1"/>
    <col min="30" max="30" width="54.625" bestFit="1" customWidth="1"/>
  </cols>
  <sheetData>
    <row r="1" spans="1:29" x14ac:dyDescent="0.25">
      <c r="A1" s="1"/>
      <c r="B1" s="4"/>
      <c r="C1" s="5" t="s">
        <v>73</v>
      </c>
      <c r="D1" s="1"/>
      <c r="E1" s="1"/>
      <c r="F1" s="1"/>
      <c r="G1" s="1"/>
      <c r="H1" s="1"/>
      <c r="I1" s="1"/>
      <c r="J1" s="1"/>
      <c r="K1" s="1"/>
      <c r="L1" s="1"/>
      <c r="M1" s="1"/>
      <c r="N1" s="1"/>
      <c r="O1" s="1"/>
      <c r="P1" s="1"/>
      <c r="Q1" s="1"/>
      <c r="R1" s="1"/>
      <c r="S1" s="1"/>
      <c r="T1" s="1"/>
      <c r="U1" s="1"/>
      <c r="V1" s="1"/>
      <c r="W1" s="1"/>
      <c r="X1" s="1"/>
      <c r="Y1" s="1"/>
      <c r="Z1" s="1"/>
      <c r="AA1" s="1"/>
      <c r="AB1" s="1"/>
      <c r="AC1" s="1"/>
    </row>
    <row r="2" spans="1:29" x14ac:dyDescent="0.25">
      <c r="A2" s="1"/>
      <c r="B2" s="6"/>
      <c r="C2" s="5" t="s">
        <v>74</v>
      </c>
      <c r="D2" s="1"/>
      <c r="E2" s="1"/>
      <c r="F2" s="1"/>
      <c r="G2" s="1"/>
      <c r="H2" s="1"/>
      <c r="I2" s="1"/>
      <c r="J2" s="1"/>
      <c r="K2" s="1"/>
      <c r="L2" s="1"/>
      <c r="M2" s="1"/>
      <c r="N2" s="1"/>
      <c r="O2" s="1"/>
      <c r="P2" s="1"/>
      <c r="Q2" s="1"/>
      <c r="R2" s="1"/>
      <c r="S2" s="1"/>
      <c r="T2" s="1"/>
      <c r="U2" s="1"/>
      <c r="V2" s="1"/>
      <c r="W2" s="1"/>
      <c r="X2" s="1"/>
      <c r="Y2" s="1"/>
      <c r="Z2" s="1"/>
      <c r="AA2" s="1"/>
      <c r="AB2" s="1"/>
      <c r="AC2" s="1"/>
    </row>
    <row r="3" spans="1:29" x14ac:dyDescent="0.25">
      <c r="A3" s="1"/>
      <c r="B3" s="8"/>
      <c r="C3" s="5" t="s">
        <v>81</v>
      </c>
      <c r="D3" s="2"/>
      <c r="E3" s="1"/>
      <c r="F3" s="1"/>
      <c r="G3" s="1"/>
      <c r="H3" s="1"/>
      <c r="I3" s="1"/>
      <c r="J3" s="1"/>
      <c r="K3" s="1"/>
      <c r="L3" s="1"/>
      <c r="M3" s="1"/>
      <c r="N3" s="1"/>
      <c r="O3" s="1"/>
      <c r="P3" s="1"/>
      <c r="Q3" s="1"/>
      <c r="R3" s="1"/>
      <c r="S3" s="1"/>
      <c r="T3" s="1"/>
      <c r="U3" s="1"/>
      <c r="V3" s="1"/>
      <c r="W3" s="1"/>
      <c r="X3" s="1"/>
      <c r="Y3" s="1"/>
      <c r="Z3" s="1"/>
      <c r="AA3" s="1"/>
      <c r="AB3" s="1"/>
      <c r="AC3" s="1"/>
    </row>
    <row r="4" spans="1:29"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14.95" customHeight="1" x14ac:dyDescent="0.25">
      <c r="A5" s="1"/>
      <c r="B5" s="3"/>
      <c r="C5" s="3"/>
      <c r="D5" s="79"/>
      <c r="E5" s="79"/>
      <c r="F5" s="79"/>
      <c r="G5" s="3"/>
      <c r="H5" s="1"/>
      <c r="I5" s="1"/>
      <c r="J5" s="1"/>
      <c r="K5" s="1"/>
      <c r="L5" s="1"/>
      <c r="M5" s="1"/>
      <c r="N5" s="1"/>
      <c r="O5" s="1"/>
      <c r="P5" s="1"/>
      <c r="Q5" s="1"/>
      <c r="R5" s="1"/>
      <c r="S5" s="1"/>
      <c r="T5" s="1"/>
      <c r="U5" s="1"/>
      <c r="V5" s="1"/>
      <c r="W5" s="1"/>
      <c r="X5" s="1"/>
      <c r="Y5" s="1"/>
      <c r="Z5" s="1"/>
      <c r="AA5" s="1"/>
      <c r="AB5" s="1"/>
      <c r="AC5" s="1"/>
    </row>
    <row r="6" spans="1:29" x14ac:dyDescent="0.25">
      <c r="A6" s="1"/>
      <c r="B6" s="35" t="s">
        <v>152</v>
      </c>
      <c r="C6" s="35" t="s">
        <v>72</v>
      </c>
      <c r="D6" s="35" t="s">
        <v>70</v>
      </c>
      <c r="E6" s="35" t="s">
        <v>71</v>
      </c>
      <c r="F6" s="35" t="s">
        <v>76</v>
      </c>
      <c r="G6" s="35" t="s">
        <v>77</v>
      </c>
      <c r="H6" s="35" t="s">
        <v>75</v>
      </c>
      <c r="I6" s="35" t="s">
        <v>155</v>
      </c>
      <c r="J6" s="47" t="s">
        <v>23</v>
      </c>
      <c r="K6" s="47" t="s">
        <v>24</v>
      </c>
      <c r="L6" s="47" t="s">
        <v>25</v>
      </c>
      <c r="M6" s="47" t="s">
        <v>156</v>
      </c>
      <c r="N6" s="47" t="s">
        <v>26</v>
      </c>
      <c r="O6" s="47" t="s">
        <v>27</v>
      </c>
      <c r="P6" s="47" t="s">
        <v>28</v>
      </c>
      <c r="Q6" s="47" t="s">
        <v>29</v>
      </c>
      <c r="R6" s="47" t="s">
        <v>30</v>
      </c>
      <c r="S6" s="47" t="s">
        <v>31</v>
      </c>
      <c r="T6" s="48" t="s">
        <v>32</v>
      </c>
      <c r="U6" s="47" t="s">
        <v>33</v>
      </c>
      <c r="V6" s="47" t="s">
        <v>34</v>
      </c>
      <c r="W6" s="48" t="s">
        <v>153</v>
      </c>
      <c r="X6" s="47" t="s">
        <v>35</v>
      </c>
      <c r="Y6" s="47" t="s">
        <v>36</v>
      </c>
      <c r="Z6" s="47" t="s">
        <v>37</v>
      </c>
      <c r="AA6" s="48" t="s">
        <v>154</v>
      </c>
      <c r="AB6" s="48" t="s">
        <v>38</v>
      </c>
      <c r="AC6" s="1"/>
    </row>
    <row r="7" spans="1:29" x14ac:dyDescent="0.25">
      <c r="A7" s="1"/>
      <c r="B7" s="62" t="s">
        <v>59</v>
      </c>
      <c r="C7" s="75" t="s">
        <v>80</v>
      </c>
      <c r="D7" s="78">
        <v>3.5000000000000003E-2</v>
      </c>
      <c r="E7" s="78">
        <v>3.4000000000000002E-2</v>
      </c>
      <c r="F7" s="71">
        <f t="shared" ref="F7:F16" si="0">IF(C7=$B$26,D7,(D7*10)/((1/0.971)*1000))</f>
        <v>3.5000000000000003E-2</v>
      </c>
      <c r="G7" s="71">
        <f t="shared" ref="G7:G16" si="1">IF(C7=$B$26,E7,(E7*10)/((1/0.971)*1000))</f>
        <v>3.4000000000000002E-2</v>
      </c>
      <c r="H7" s="50">
        <f>2172*1000</f>
        <v>2172000</v>
      </c>
      <c r="I7" s="70">
        <f>H7*(0.1226*F7*100+0.0776*G7*100+0.2534)</f>
        <v>2055450.4800000004</v>
      </c>
      <c r="J7" s="6">
        <v>1.5764739210594263</v>
      </c>
      <c r="K7" s="6">
        <v>0.61217042261332033</v>
      </c>
      <c r="L7" s="6">
        <v>0.8935450767376415</v>
      </c>
      <c r="M7" s="6">
        <v>7.0758421708464497E-2</v>
      </c>
      <c r="N7" s="6">
        <v>4.8328632840080849E-8</v>
      </c>
      <c r="O7" s="6">
        <v>3.1623879293274749E-6</v>
      </c>
      <c r="P7" s="6">
        <v>1.3764098525897407E-8</v>
      </c>
      <c r="Q7" s="6">
        <v>1.6428833922745225E-3</v>
      </c>
      <c r="R7" s="6">
        <v>1.7027892987490141E-2</v>
      </c>
      <c r="S7" s="6">
        <v>1.3283046122836073E-7</v>
      </c>
      <c r="T7" s="6">
        <v>7.5366194740662754E-3</v>
      </c>
      <c r="U7" s="6">
        <v>5.0383666816215249E-2</v>
      </c>
      <c r="V7" s="6">
        <v>0.22049504433219036</v>
      </c>
      <c r="W7" s="6">
        <v>6.9859997792921606E-4</v>
      </c>
      <c r="X7" s="6">
        <v>2.1707828317278053E-2</v>
      </c>
      <c r="Y7" s="6">
        <v>2.832883630526291</v>
      </c>
      <c r="Z7" s="6">
        <v>2.2192691404881648</v>
      </c>
      <c r="AA7" s="6">
        <v>3.6747915236803326E-2</v>
      </c>
      <c r="AB7" s="6">
        <v>1.7443860305026435E-5</v>
      </c>
      <c r="AC7" s="1"/>
    </row>
    <row r="8" spans="1:29" x14ac:dyDescent="0.25">
      <c r="A8" s="1"/>
      <c r="B8" s="62" t="s">
        <v>60</v>
      </c>
      <c r="C8" s="75" t="s">
        <v>80</v>
      </c>
      <c r="D8" s="76"/>
      <c r="E8" s="50"/>
      <c r="F8" s="71">
        <f t="shared" si="0"/>
        <v>0</v>
      </c>
      <c r="G8" s="71">
        <f t="shared" si="1"/>
        <v>0</v>
      </c>
      <c r="H8" s="50"/>
      <c r="I8" s="70">
        <f t="shared" ref="I8:I16" si="2">H8*(0.1226*F8*100+0.0776*G8*100+0.2534)</f>
        <v>0</v>
      </c>
      <c r="J8" s="6"/>
      <c r="K8" s="6"/>
      <c r="L8" s="6"/>
      <c r="M8" s="6"/>
      <c r="N8" s="6"/>
      <c r="O8" s="6"/>
      <c r="P8" s="6"/>
      <c r="Q8" s="6"/>
      <c r="R8" s="6"/>
      <c r="S8" s="6"/>
      <c r="T8" s="6"/>
      <c r="U8" s="6"/>
      <c r="V8" s="6"/>
      <c r="W8" s="6"/>
      <c r="X8" s="6"/>
      <c r="Y8" s="6"/>
      <c r="Z8" s="6"/>
      <c r="AA8" s="6"/>
      <c r="AB8" s="6"/>
      <c r="AC8" s="1"/>
    </row>
    <row r="9" spans="1:29" x14ac:dyDescent="0.25">
      <c r="A9" s="1"/>
      <c r="B9" s="62" t="s">
        <v>61</v>
      </c>
      <c r="C9" s="75" t="s">
        <v>80</v>
      </c>
      <c r="D9" s="76"/>
      <c r="E9" s="77"/>
      <c r="F9" s="71">
        <f t="shared" si="0"/>
        <v>0</v>
      </c>
      <c r="G9" s="71">
        <f t="shared" si="1"/>
        <v>0</v>
      </c>
      <c r="H9" s="6"/>
      <c r="I9" s="70">
        <f t="shared" si="2"/>
        <v>0</v>
      </c>
      <c r="J9" s="6"/>
      <c r="K9" s="6"/>
      <c r="L9" s="6"/>
      <c r="M9" s="6"/>
      <c r="N9" s="6"/>
      <c r="O9" s="6"/>
      <c r="P9" s="6"/>
      <c r="Q9" s="6"/>
      <c r="R9" s="6"/>
      <c r="S9" s="6"/>
      <c r="T9" s="6"/>
      <c r="U9" s="6"/>
      <c r="V9" s="6"/>
      <c r="W9" s="6"/>
      <c r="X9" s="6"/>
      <c r="Y9" s="6"/>
      <c r="Z9" s="6"/>
      <c r="AA9" s="6"/>
      <c r="AB9" s="6"/>
      <c r="AC9" s="1"/>
    </row>
    <row r="10" spans="1:29" x14ac:dyDescent="0.25">
      <c r="A10" s="1"/>
      <c r="B10" s="62" t="s">
        <v>62</v>
      </c>
      <c r="C10" s="75" t="s">
        <v>80</v>
      </c>
      <c r="D10" s="76"/>
      <c r="E10" s="77"/>
      <c r="F10" s="71">
        <f t="shared" si="0"/>
        <v>0</v>
      </c>
      <c r="G10" s="71">
        <f t="shared" si="1"/>
        <v>0</v>
      </c>
      <c r="H10" s="6"/>
      <c r="I10" s="70">
        <f t="shared" si="2"/>
        <v>0</v>
      </c>
      <c r="J10" s="6"/>
      <c r="K10" s="6"/>
      <c r="L10" s="6"/>
      <c r="M10" s="6"/>
      <c r="N10" s="6"/>
      <c r="O10" s="6"/>
      <c r="P10" s="6"/>
      <c r="Q10" s="6"/>
      <c r="R10" s="6"/>
      <c r="S10" s="6"/>
      <c r="T10" s="6"/>
      <c r="U10" s="6"/>
      <c r="V10" s="6"/>
      <c r="W10" s="6"/>
      <c r="X10" s="6"/>
      <c r="Y10" s="6"/>
      <c r="Z10" s="6"/>
      <c r="AA10" s="6"/>
      <c r="AB10" s="6"/>
      <c r="AC10" s="1"/>
    </row>
    <row r="11" spans="1:29" x14ac:dyDescent="0.25">
      <c r="A11" s="1"/>
      <c r="B11" s="62" t="s">
        <v>63</v>
      </c>
      <c r="C11" s="75" t="s">
        <v>80</v>
      </c>
      <c r="D11" s="76"/>
      <c r="E11" s="77"/>
      <c r="F11" s="71">
        <f t="shared" si="0"/>
        <v>0</v>
      </c>
      <c r="G11" s="71">
        <f t="shared" si="1"/>
        <v>0</v>
      </c>
      <c r="H11" s="6"/>
      <c r="I11" s="70">
        <f t="shared" si="2"/>
        <v>0</v>
      </c>
      <c r="J11" s="6"/>
      <c r="K11" s="6"/>
      <c r="L11" s="6"/>
      <c r="M11" s="6"/>
      <c r="N11" s="6"/>
      <c r="O11" s="6"/>
      <c r="P11" s="6"/>
      <c r="Q11" s="6"/>
      <c r="R11" s="6"/>
      <c r="S11" s="6"/>
      <c r="T11" s="6"/>
      <c r="U11" s="6"/>
      <c r="V11" s="6"/>
      <c r="W11" s="6"/>
      <c r="X11" s="6"/>
      <c r="Y11" s="6"/>
      <c r="Z11" s="6"/>
      <c r="AA11" s="6"/>
      <c r="AB11" s="6"/>
      <c r="AC11" s="1"/>
    </row>
    <row r="12" spans="1:29" x14ac:dyDescent="0.25">
      <c r="A12" s="1"/>
      <c r="B12" s="62" t="s">
        <v>64</v>
      </c>
      <c r="C12" s="75" t="s">
        <v>80</v>
      </c>
      <c r="D12" s="76"/>
      <c r="E12" s="77"/>
      <c r="F12" s="71">
        <f t="shared" si="0"/>
        <v>0</v>
      </c>
      <c r="G12" s="71">
        <f t="shared" si="1"/>
        <v>0</v>
      </c>
      <c r="H12" s="6"/>
      <c r="I12" s="70">
        <f t="shared" si="2"/>
        <v>0</v>
      </c>
      <c r="J12" s="6"/>
      <c r="K12" s="6"/>
      <c r="L12" s="6"/>
      <c r="M12" s="6"/>
      <c r="N12" s="6"/>
      <c r="O12" s="6"/>
      <c r="P12" s="6"/>
      <c r="Q12" s="6"/>
      <c r="R12" s="6"/>
      <c r="S12" s="6"/>
      <c r="T12" s="6"/>
      <c r="U12" s="6"/>
      <c r="V12" s="6"/>
      <c r="W12" s="6"/>
      <c r="X12" s="6"/>
      <c r="Y12" s="6"/>
      <c r="Z12" s="6"/>
      <c r="AA12" s="6"/>
      <c r="AB12" s="6"/>
      <c r="AC12" s="1"/>
    </row>
    <row r="13" spans="1:29" x14ac:dyDescent="0.25">
      <c r="A13" s="1"/>
      <c r="B13" s="62" t="s">
        <v>65</v>
      </c>
      <c r="C13" s="75" t="s">
        <v>80</v>
      </c>
      <c r="D13" s="76"/>
      <c r="E13" s="77"/>
      <c r="F13" s="71">
        <f t="shared" si="0"/>
        <v>0</v>
      </c>
      <c r="G13" s="71">
        <f t="shared" si="1"/>
        <v>0</v>
      </c>
      <c r="H13" s="6"/>
      <c r="I13" s="70">
        <f t="shared" si="2"/>
        <v>0</v>
      </c>
      <c r="J13" s="6"/>
      <c r="K13" s="6"/>
      <c r="L13" s="6"/>
      <c r="M13" s="6"/>
      <c r="N13" s="6"/>
      <c r="O13" s="6"/>
      <c r="P13" s="6"/>
      <c r="Q13" s="6"/>
      <c r="R13" s="6"/>
      <c r="S13" s="6"/>
      <c r="T13" s="6"/>
      <c r="U13" s="6"/>
      <c r="V13" s="6"/>
      <c r="W13" s="6"/>
      <c r="X13" s="6"/>
      <c r="Y13" s="6"/>
      <c r="Z13" s="6"/>
      <c r="AA13" s="6"/>
      <c r="AB13" s="6"/>
      <c r="AC13" s="1"/>
    </row>
    <row r="14" spans="1:29" x14ac:dyDescent="0.25">
      <c r="A14" s="1"/>
      <c r="B14" s="62" t="s">
        <v>66</v>
      </c>
      <c r="C14" s="75" t="s">
        <v>80</v>
      </c>
      <c r="D14" s="76"/>
      <c r="E14" s="77"/>
      <c r="F14" s="71">
        <f t="shared" si="0"/>
        <v>0</v>
      </c>
      <c r="G14" s="71">
        <f t="shared" si="1"/>
        <v>0</v>
      </c>
      <c r="H14" s="6"/>
      <c r="I14" s="70">
        <f t="shared" si="2"/>
        <v>0</v>
      </c>
      <c r="J14" s="6"/>
      <c r="K14" s="6"/>
      <c r="L14" s="6"/>
      <c r="M14" s="6"/>
      <c r="N14" s="6"/>
      <c r="O14" s="6"/>
      <c r="P14" s="6"/>
      <c r="Q14" s="6"/>
      <c r="R14" s="6"/>
      <c r="S14" s="6"/>
      <c r="T14" s="6"/>
      <c r="U14" s="6"/>
      <c r="V14" s="6"/>
      <c r="W14" s="6"/>
      <c r="X14" s="6"/>
      <c r="Y14" s="6"/>
      <c r="Z14" s="6"/>
      <c r="AA14" s="6"/>
      <c r="AB14" s="6"/>
      <c r="AC14" s="1"/>
    </row>
    <row r="15" spans="1:29" x14ac:dyDescent="0.25">
      <c r="A15" s="1"/>
      <c r="B15" s="62" t="s">
        <v>67</v>
      </c>
      <c r="C15" s="75" t="s">
        <v>80</v>
      </c>
      <c r="D15" s="76"/>
      <c r="E15" s="77"/>
      <c r="F15" s="71">
        <f t="shared" si="0"/>
        <v>0</v>
      </c>
      <c r="G15" s="71">
        <f t="shared" si="1"/>
        <v>0</v>
      </c>
      <c r="H15" s="6"/>
      <c r="I15" s="70">
        <f t="shared" si="2"/>
        <v>0</v>
      </c>
      <c r="J15" s="6"/>
      <c r="K15" s="6"/>
      <c r="L15" s="6"/>
      <c r="M15" s="6"/>
      <c r="N15" s="6"/>
      <c r="O15" s="6"/>
      <c r="P15" s="6"/>
      <c r="Q15" s="6"/>
      <c r="R15" s="6"/>
      <c r="S15" s="6"/>
      <c r="T15" s="6"/>
      <c r="U15" s="6"/>
      <c r="V15" s="6"/>
      <c r="W15" s="6"/>
      <c r="X15" s="6"/>
      <c r="Y15" s="6"/>
      <c r="Z15" s="6"/>
      <c r="AA15" s="6"/>
      <c r="AB15" s="6"/>
      <c r="AC15" s="1"/>
    </row>
    <row r="16" spans="1:29" x14ac:dyDescent="0.25">
      <c r="A16" s="1"/>
      <c r="B16" s="62" t="s">
        <v>68</v>
      </c>
      <c r="C16" s="75" t="s">
        <v>80</v>
      </c>
      <c r="D16" s="76"/>
      <c r="E16" s="77"/>
      <c r="F16" s="71">
        <f t="shared" si="0"/>
        <v>0</v>
      </c>
      <c r="G16" s="71">
        <f t="shared" si="1"/>
        <v>0</v>
      </c>
      <c r="H16" s="6"/>
      <c r="I16" s="70">
        <f t="shared" si="2"/>
        <v>0</v>
      </c>
      <c r="J16" s="6"/>
      <c r="K16" s="6"/>
      <c r="L16" s="6"/>
      <c r="M16" s="6"/>
      <c r="N16" s="6"/>
      <c r="O16" s="6"/>
      <c r="P16" s="6"/>
      <c r="Q16" s="6"/>
      <c r="R16" s="6"/>
      <c r="S16" s="6"/>
      <c r="T16" s="6"/>
      <c r="U16" s="6"/>
      <c r="V16" s="6"/>
      <c r="W16" s="6"/>
      <c r="X16" s="6"/>
      <c r="Y16" s="6"/>
      <c r="Z16" s="6"/>
      <c r="AA16" s="6"/>
      <c r="AB16" s="6"/>
      <c r="AC16" s="1"/>
    </row>
    <row r="17" spans="1:29" x14ac:dyDescent="0.25">
      <c r="A17" s="1"/>
      <c r="B17" s="188" t="s">
        <v>69</v>
      </c>
      <c r="C17" s="189"/>
      <c r="D17" s="72">
        <f>SUMPRODUCT(D7:D16,$I$7:$I$16)/SUM($I$7:$I$16)</f>
        <v>3.5000000000000003E-2</v>
      </c>
      <c r="E17" s="72">
        <f>SUMPRODUCT(E7:E16,$I$7:$I$16)/SUM($I$7:$I$16)</f>
        <v>3.4000000000000002E-2</v>
      </c>
      <c r="F17" s="72">
        <f>SUMPRODUCT(F7:F16,$I$7:$I$16)/SUM($I$7:$I$16)</f>
        <v>3.5000000000000003E-2</v>
      </c>
      <c r="G17" s="72">
        <f>SUMPRODUCT(G7:G16,$I$7:$I$16)/SUM($I$7:$I$16)</f>
        <v>3.4000000000000002E-2</v>
      </c>
      <c r="H17" s="73">
        <f>SUM(H7:H16)</f>
        <v>2172000</v>
      </c>
      <c r="I17" s="73">
        <f>SUM(I7:I16)</f>
        <v>2055450.4800000004</v>
      </c>
      <c r="J17" s="73">
        <f t="shared" ref="J17:AB17" si="3">SUMPRODUCT(J7:J16,$I$7:$I$16)/SUM($I$7:$I$16)</f>
        <v>1.5764739210594263</v>
      </c>
      <c r="K17" s="73">
        <f t="shared" si="3"/>
        <v>0.61217042261332033</v>
      </c>
      <c r="L17" s="73">
        <f t="shared" si="3"/>
        <v>0.8935450767376415</v>
      </c>
      <c r="M17" s="73">
        <f t="shared" si="3"/>
        <v>7.0758421708464497E-2</v>
      </c>
      <c r="N17" s="73">
        <f t="shared" si="3"/>
        <v>4.8328632840080849E-8</v>
      </c>
      <c r="O17" s="73">
        <f t="shared" si="3"/>
        <v>3.1623879293274749E-6</v>
      </c>
      <c r="P17" s="73">
        <f t="shared" si="3"/>
        <v>1.3764098525897407E-8</v>
      </c>
      <c r="Q17" s="73">
        <f t="shared" si="3"/>
        <v>1.6428833922745225E-3</v>
      </c>
      <c r="R17" s="73">
        <f t="shared" si="3"/>
        <v>1.7027892987490145E-2</v>
      </c>
      <c r="S17" s="73">
        <f t="shared" si="3"/>
        <v>1.3283046122836073E-7</v>
      </c>
      <c r="T17" s="73">
        <f t="shared" si="3"/>
        <v>7.5366194740662754E-3</v>
      </c>
      <c r="U17" s="73">
        <f t="shared" si="3"/>
        <v>5.0383666816215249E-2</v>
      </c>
      <c r="V17" s="73">
        <f t="shared" si="3"/>
        <v>0.22049504433219036</v>
      </c>
      <c r="W17" s="73">
        <f t="shared" si="3"/>
        <v>6.9859997792921606E-4</v>
      </c>
      <c r="X17" s="73">
        <f t="shared" si="3"/>
        <v>2.1707828317278053E-2</v>
      </c>
      <c r="Y17" s="73">
        <f t="shared" si="3"/>
        <v>2.832883630526291</v>
      </c>
      <c r="Z17" s="73">
        <f t="shared" si="3"/>
        <v>2.2192691404881648</v>
      </c>
      <c r="AA17" s="73">
        <f t="shared" si="3"/>
        <v>3.6747915236803326E-2</v>
      </c>
      <c r="AB17" s="73">
        <f t="shared" si="3"/>
        <v>1.7443860305026435E-5</v>
      </c>
      <c r="AC17" s="1"/>
    </row>
    <row r="18" spans="1:29"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29"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row>
    <row r="20" spans="1:29" x14ac:dyDescent="0.25">
      <c r="A20" s="1"/>
      <c r="B20" s="35" t="s">
        <v>78</v>
      </c>
      <c r="C20" s="47" t="s">
        <v>23</v>
      </c>
      <c r="D20" s="47" t="s">
        <v>24</v>
      </c>
      <c r="E20" s="47" t="s">
        <v>25</v>
      </c>
      <c r="F20" s="47" t="s">
        <v>156</v>
      </c>
      <c r="G20" s="47" t="s">
        <v>26</v>
      </c>
      <c r="H20" s="47" t="s">
        <v>27</v>
      </c>
      <c r="I20" s="47" t="s">
        <v>28</v>
      </c>
      <c r="J20" s="47" t="s">
        <v>29</v>
      </c>
      <c r="K20" s="47" t="s">
        <v>30</v>
      </c>
      <c r="L20" s="47" t="s">
        <v>31</v>
      </c>
      <c r="M20" s="48" t="s">
        <v>32</v>
      </c>
      <c r="N20" s="47" t="s">
        <v>33</v>
      </c>
      <c r="O20" s="47" t="s">
        <v>34</v>
      </c>
      <c r="P20" s="48" t="s">
        <v>153</v>
      </c>
      <c r="Q20" s="47" t="s">
        <v>35</v>
      </c>
      <c r="R20" s="47" t="s">
        <v>36</v>
      </c>
      <c r="S20" s="47" t="s">
        <v>37</v>
      </c>
      <c r="T20" s="48" t="s">
        <v>154</v>
      </c>
      <c r="U20" s="48" t="s">
        <v>38</v>
      </c>
      <c r="V20" s="1"/>
      <c r="W20" s="2"/>
      <c r="X20" s="1"/>
      <c r="Y20" s="1"/>
      <c r="Z20" s="1"/>
      <c r="AA20" s="1"/>
      <c r="AB20" s="1"/>
      <c r="AC20" s="1"/>
    </row>
    <row r="21" spans="1:29" x14ac:dyDescent="0.25">
      <c r="A21" s="1"/>
      <c r="B21" s="35" t="s">
        <v>69</v>
      </c>
      <c r="C21" s="74">
        <f t="shared" ref="C21:U21" si="4">J17*1*(0.1226*$F$17*100+0.0776*$G$17*100+0.2534)</f>
        <v>1.4918803304553778</v>
      </c>
      <c r="D21" s="74">
        <f t="shared" si="4"/>
        <v>0.57932135773588966</v>
      </c>
      <c r="E21" s="74">
        <f t="shared" si="4"/>
        <v>0.84559744791989977</v>
      </c>
      <c r="F21" s="74">
        <f t="shared" si="4"/>
        <v>6.6961524799588307E-2</v>
      </c>
      <c r="G21" s="74">
        <f t="shared" si="4"/>
        <v>4.5735318401882122E-8</v>
      </c>
      <c r="H21" s="74">
        <f t="shared" si="4"/>
        <v>2.9926941930397633E-6</v>
      </c>
      <c r="I21" s="74">
        <f t="shared" si="4"/>
        <v>1.3025516998997755E-8</v>
      </c>
      <c r="J21" s="74">
        <f t="shared" si="4"/>
        <v>1.5547262694450719E-3</v>
      </c>
      <c r="K21" s="74">
        <f t="shared" si="4"/>
        <v>1.6114176249781426E-2</v>
      </c>
      <c r="L21" s="74">
        <f t="shared" si="4"/>
        <v>1.2570277867884692E-7</v>
      </c>
      <c r="M21" s="74">
        <f t="shared" si="4"/>
        <v>7.1322044730878801E-3</v>
      </c>
      <c r="N21" s="74">
        <f t="shared" si="4"/>
        <v>4.7680079254857149E-2</v>
      </c>
      <c r="O21" s="74">
        <f t="shared" si="4"/>
        <v>0.20866328025332506</v>
      </c>
      <c r="P21" s="74">
        <f t="shared" si="4"/>
        <v>6.6111310311353449E-4</v>
      </c>
      <c r="Q21" s="74">
        <f t="shared" si="4"/>
        <v>2.0542986249772917E-2</v>
      </c>
      <c r="R21" s="74">
        <f t="shared" si="4"/>
        <v>2.6808710949122507</v>
      </c>
      <c r="S21" s="74">
        <f t="shared" si="4"/>
        <v>2.1001831584095703</v>
      </c>
      <c r="T21" s="74">
        <f t="shared" si="4"/>
        <v>3.4776022105196466E-2</v>
      </c>
      <c r="U21" s="74">
        <f t="shared" si="4"/>
        <v>1.6507822761058718E-5</v>
      </c>
      <c r="V21" s="1"/>
      <c r="W21" s="1"/>
      <c r="X21" s="1"/>
      <c r="Y21" s="1"/>
      <c r="Z21" s="1"/>
      <c r="AA21" s="1"/>
      <c r="AB21" s="1"/>
      <c r="AC21" s="1"/>
    </row>
    <row r="22" spans="1:29"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row>
    <row r="23" spans="1:29"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row>
    <row r="24" spans="1:29"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row>
    <row r="25" spans="1:29" hidden="1" x14ac:dyDescent="0.25">
      <c r="A25" s="1"/>
      <c r="B25" s="1" t="s">
        <v>79</v>
      </c>
      <c r="C25" s="1"/>
      <c r="D25" s="1"/>
      <c r="E25" s="1"/>
      <c r="F25" s="1"/>
      <c r="G25" s="1"/>
      <c r="H25" s="1"/>
      <c r="I25" s="1"/>
      <c r="J25" s="1"/>
      <c r="K25" s="1"/>
      <c r="L25" s="1"/>
      <c r="M25" s="1"/>
      <c r="N25" s="1"/>
      <c r="O25" s="1"/>
      <c r="P25" s="1"/>
      <c r="Q25" s="1"/>
      <c r="R25" s="1"/>
      <c r="S25" s="1"/>
      <c r="T25" s="1"/>
      <c r="U25" s="1"/>
      <c r="V25" s="1"/>
      <c r="W25" s="1"/>
      <c r="X25" s="1"/>
      <c r="Y25" s="1"/>
      <c r="Z25" s="1"/>
      <c r="AA25" s="1"/>
      <c r="AB25" s="1"/>
      <c r="AC25" s="1"/>
    </row>
    <row r="26" spans="1:29" hidden="1" x14ac:dyDescent="0.25">
      <c r="A26" s="1"/>
      <c r="B26" s="1" t="s">
        <v>80</v>
      </c>
      <c r="C26" s="1"/>
      <c r="D26" s="1"/>
      <c r="E26" s="1"/>
      <c r="F26" s="1"/>
      <c r="G26" s="1"/>
      <c r="H26" s="1"/>
      <c r="I26" s="1"/>
      <c r="J26" s="1"/>
      <c r="K26" s="1"/>
      <c r="L26" s="1"/>
      <c r="M26" s="1"/>
      <c r="N26" s="1"/>
      <c r="O26" s="1"/>
      <c r="P26" s="1"/>
      <c r="Q26" s="1"/>
      <c r="R26" s="1"/>
      <c r="S26" s="1"/>
      <c r="T26" s="1"/>
      <c r="U26" s="1"/>
      <c r="V26" s="1"/>
      <c r="W26" s="1"/>
      <c r="X26" s="1"/>
      <c r="Y26" s="1"/>
      <c r="Z26" s="1"/>
      <c r="AA26" s="1"/>
      <c r="AB26" s="1"/>
      <c r="AC26" s="1"/>
    </row>
    <row r="27" spans="1:29"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row>
    <row r="28" spans="1:29" ht="25.85" x14ac:dyDescent="0.45">
      <c r="A28" s="1"/>
      <c r="B28" s="91" t="s">
        <v>170</v>
      </c>
      <c r="C28" s="91"/>
      <c r="D28" s="90"/>
      <c r="E28" s="1"/>
      <c r="F28" s="1"/>
      <c r="G28" s="1"/>
      <c r="H28" s="1"/>
      <c r="I28" s="1"/>
      <c r="J28" s="1"/>
      <c r="K28" s="1"/>
      <c r="L28" s="1"/>
      <c r="M28" s="1"/>
      <c r="N28" s="1"/>
      <c r="O28" s="1"/>
      <c r="P28" s="1"/>
      <c r="Q28" s="1"/>
      <c r="R28" s="1"/>
      <c r="S28" s="1"/>
      <c r="T28" s="1"/>
      <c r="U28" s="1"/>
      <c r="V28" s="1"/>
      <c r="W28" s="1"/>
      <c r="X28" s="1"/>
      <c r="Y28" s="1"/>
      <c r="Z28" s="1"/>
      <c r="AA28" s="1"/>
      <c r="AB28" s="1"/>
      <c r="AC28" s="1"/>
    </row>
    <row r="29" spans="1:29"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row>
    <row r="30" spans="1:29"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row>
    <row r="31" spans="1:29"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29"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1:29"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29"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1:29"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spans="1:29"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spans="1:29"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spans="1:29"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spans="1:29"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29" x14ac:dyDescent="0.25">
      <c r="A44" s="1"/>
    </row>
  </sheetData>
  <mergeCells count="1">
    <mergeCell ref="B17:C17"/>
  </mergeCells>
  <dataValidations count="1">
    <dataValidation type="list" allowBlank="1" showInputMessage="1" showErrorMessage="1" sqref="C7:C16" xr:uid="{00000000-0002-0000-0000-000000000000}">
      <formula1>$B$25:$B$26</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7C6CC-5BC3-4307-889A-FB3273120E6A}">
  <sheetPr>
    <tabColor theme="4" tint="0.79998168889431442"/>
  </sheetPr>
  <dimension ref="A1:G12"/>
  <sheetViews>
    <sheetView workbookViewId="0">
      <selection activeCell="G22" sqref="G22"/>
    </sheetView>
  </sheetViews>
  <sheetFormatPr defaultColWidth="8.875" defaultRowHeight="14.3" x14ac:dyDescent="0.25"/>
  <cols>
    <col min="1" max="1" width="22.25" style="33" bestFit="1" customWidth="1"/>
    <col min="2" max="2" width="13.75" style="93" bestFit="1" customWidth="1"/>
    <col min="3" max="3" width="10.875" style="93" bestFit="1" customWidth="1"/>
    <col min="4" max="4" width="10.5" style="93" bestFit="1" customWidth="1"/>
    <col min="5" max="5" width="32.125" style="93" bestFit="1" customWidth="1"/>
    <col min="6" max="6" width="7.5" style="33" customWidth="1"/>
    <col min="7" max="16384" width="8.875" style="93"/>
  </cols>
  <sheetData>
    <row r="1" spans="1:7" s="95" customFormat="1" x14ac:dyDescent="0.25">
      <c r="A1" s="95" t="s">
        <v>411</v>
      </c>
      <c r="B1" s="95" t="s">
        <v>412</v>
      </c>
      <c r="C1" s="95" t="s">
        <v>413</v>
      </c>
      <c r="D1" s="95" t="s">
        <v>363</v>
      </c>
      <c r="E1" s="95" t="s">
        <v>416</v>
      </c>
      <c r="F1" s="95" t="s">
        <v>203</v>
      </c>
      <c r="G1" s="138"/>
    </row>
    <row r="2" spans="1:7" x14ac:dyDescent="0.25">
      <c r="A2" s="33" t="s">
        <v>417</v>
      </c>
      <c r="B2" s="98" t="s">
        <v>5</v>
      </c>
      <c r="C2" s="130" t="e">
        <f>SUM((Template!K75+Template!K78)*Template!$K$17,(Template!K84+Template!K87+Template!K93+Template!K96)*Template!$K$17,#REF!)</f>
        <v>#DIV/0!</v>
      </c>
      <c r="D2" s="173">
        <v>2.8000000000000001E-2</v>
      </c>
      <c r="E2" s="158" t="e">
        <f t="shared" ref="E2:E11" si="0">IF(C2&gt;D2,(C2-$D2)/$D2,"-")</f>
        <v>#DIV/0!</v>
      </c>
      <c r="F2" s="93" t="e">
        <f t="shared" ref="F2:F11" si="1">IF(E2="-",0,1)</f>
        <v>#DIV/0!</v>
      </c>
    </row>
    <row r="3" spans="1:7" x14ac:dyDescent="0.25">
      <c r="A3" s="33" t="s">
        <v>418</v>
      </c>
      <c r="B3" s="93" t="s">
        <v>5</v>
      </c>
      <c r="C3" s="130" t="e">
        <f>Template!#REF!+Template!#REF!</f>
        <v>#REF!</v>
      </c>
      <c r="D3" s="173">
        <v>8.8999999999999996E-2</v>
      </c>
      <c r="E3" s="158" t="e">
        <f t="shared" si="0"/>
        <v>#REF!</v>
      </c>
      <c r="F3" s="93" t="e">
        <f t="shared" si="1"/>
        <v>#REF!</v>
      </c>
    </row>
    <row r="4" spans="1:7" x14ac:dyDescent="0.25">
      <c r="A4" s="33" t="s">
        <v>419</v>
      </c>
      <c r="B4" s="98" t="s">
        <v>5</v>
      </c>
      <c r="C4" s="130">
        <v>6.0000000000000001E-3</v>
      </c>
      <c r="D4" s="173">
        <v>1.2E-2</v>
      </c>
      <c r="E4" s="158" t="str">
        <f t="shared" si="0"/>
        <v>-</v>
      </c>
      <c r="F4" s="93">
        <f t="shared" si="1"/>
        <v>0</v>
      </c>
    </row>
    <row r="5" spans="1:7" x14ac:dyDescent="0.25">
      <c r="A5" s="33" t="s">
        <v>365</v>
      </c>
      <c r="B5" s="93" t="s">
        <v>5</v>
      </c>
      <c r="C5" s="130">
        <f>IF(Template!K70="Sì",Template!K55+Template!K56,0)</f>
        <v>0</v>
      </c>
      <c r="D5" s="173">
        <v>4.0000000000000001E-3</v>
      </c>
      <c r="E5" s="158" t="str">
        <f t="shared" si="0"/>
        <v>-</v>
      </c>
      <c r="F5" s="93">
        <f t="shared" si="1"/>
        <v>0</v>
      </c>
    </row>
    <row r="6" spans="1:7" x14ac:dyDescent="0.25">
      <c r="A6" s="33" t="s">
        <v>420</v>
      </c>
      <c r="B6" s="93" t="s">
        <v>8</v>
      </c>
      <c r="C6" s="179">
        <f>Template!K19+Template!K24</f>
        <v>0</v>
      </c>
      <c r="D6" s="173">
        <v>0.20300000000000001</v>
      </c>
      <c r="E6" s="158" t="str">
        <f t="shared" si="0"/>
        <v>-</v>
      </c>
      <c r="F6" s="93">
        <f t="shared" si="1"/>
        <v>0</v>
      </c>
    </row>
    <row r="7" spans="1:7" x14ac:dyDescent="0.25">
      <c r="A7" s="33" t="s">
        <v>421</v>
      </c>
      <c r="B7" s="93" t="s">
        <v>11</v>
      </c>
      <c r="C7" s="130" t="e">
        <f>Template!K27</f>
        <v>#DIV/0!</v>
      </c>
      <c r="D7" s="173">
        <v>1.1000000000000001</v>
      </c>
      <c r="E7" s="158" t="e">
        <f t="shared" si="0"/>
        <v>#DIV/0!</v>
      </c>
      <c r="F7" s="93" t="e">
        <f t="shared" si="1"/>
        <v>#DIV/0!</v>
      </c>
    </row>
    <row r="8" spans="1:7" x14ac:dyDescent="0.25">
      <c r="A8" s="33" t="s">
        <v>396</v>
      </c>
      <c r="B8" s="93" t="s">
        <v>5</v>
      </c>
      <c r="C8" s="130" t="e">
        <f>Template!K66</f>
        <v>#DIV/0!</v>
      </c>
      <c r="D8" s="173">
        <v>1.4</v>
      </c>
      <c r="E8" s="158" t="e">
        <f t="shared" si="0"/>
        <v>#DIV/0!</v>
      </c>
      <c r="F8" s="93" t="e">
        <f t="shared" si="1"/>
        <v>#DIV/0!</v>
      </c>
    </row>
    <row r="9" spans="1:7" x14ac:dyDescent="0.25">
      <c r="A9" s="33" t="s">
        <v>422</v>
      </c>
      <c r="B9" s="93" t="s">
        <v>5</v>
      </c>
      <c r="C9" s="130" t="e">
        <f>Template!K63</f>
        <v>#DIV/0!</v>
      </c>
      <c r="D9" s="173">
        <v>7.0999999999999994E-2</v>
      </c>
      <c r="E9" s="158" t="e">
        <f t="shared" si="0"/>
        <v>#DIV/0!</v>
      </c>
      <c r="F9" s="93" t="e">
        <f t="shared" si="1"/>
        <v>#DIV/0!</v>
      </c>
    </row>
    <row r="10" spans="1:7" x14ac:dyDescent="0.25">
      <c r="A10" s="33" t="s">
        <v>373</v>
      </c>
      <c r="B10" s="93" t="s">
        <v>5</v>
      </c>
      <c r="C10" s="130">
        <f>Template!K46</f>
        <v>0</v>
      </c>
      <c r="D10" s="130">
        <v>4.1999999999999998E-5</v>
      </c>
      <c r="E10" s="158" t="str">
        <f t="shared" si="0"/>
        <v>-</v>
      </c>
      <c r="F10" s="93">
        <f t="shared" si="1"/>
        <v>0</v>
      </c>
    </row>
    <row r="11" spans="1:7" x14ac:dyDescent="0.25">
      <c r="A11" s="33" t="s">
        <v>423</v>
      </c>
      <c r="B11" s="93" t="s">
        <v>5</v>
      </c>
      <c r="C11" s="130" t="e">
        <f>Template!K15</f>
        <v>#DIV/0!</v>
      </c>
      <c r="D11" s="130">
        <v>1.2999999999999999E-4</v>
      </c>
      <c r="E11" s="158" t="e">
        <f t="shared" si="0"/>
        <v>#DIV/0!</v>
      </c>
      <c r="F11" s="93" t="e">
        <f t="shared" si="1"/>
        <v>#DIV/0!</v>
      </c>
    </row>
    <row r="12" spans="1:7" x14ac:dyDescent="0.25">
      <c r="D12" s="173"/>
    </row>
  </sheetData>
  <pageMargins left="0.7" right="0.7" top="0.75" bottom="0.75" header="0.3" footer="0.3"/>
  <pageSetup paperSize="9" orientation="portrait"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CF165-0ACC-4FA9-960E-1CF2D462F51C}">
  <sheetPr>
    <tabColor theme="4" tint="0.79998168889431442"/>
  </sheetPr>
  <dimension ref="A1:E17"/>
  <sheetViews>
    <sheetView workbookViewId="0">
      <selection activeCell="G22" sqref="G22"/>
    </sheetView>
  </sheetViews>
  <sheetFormatPr defaultColWidth="8.875" defaultRowHeight="14.3" x14ac:dyDescent="0.25"/>
  <cols>
    <col min="1" max="1" width="54.75" style="33" bestFit="1" customWidth="1"/>
    <col min="2" max="2" width="22.25" style="93" bestFit="1" customWidth="1"/>
    <col min="3" max="3" width="17.5" style="93" bestFit="1" customWidth="1"/>
    <col min="4" max="16384" width="8.875" style="93"/>
  </cols>
  <sheetData>
    <row r="1" spans="1:5" s="95" customFormat="1" x14ac:dyDescent="0.25">
      <c r="A1" s="95" t="s">
        <v>425</v>
      </c>
      <c r="B1" s="95" t="s">
        <v>411</v>
      </c>
      <c r="C1" s="95" t="s">
        <v>432</v>
      </c>
      <c r="D1" s="120"/>
      <c r="E1" s="170"/>
    </row>
    <row r="2" spans="1:5" x14ac:dyDescent="0.25">
      <c r="A2" s="33" t="s">
        <v>429</v>
      </c>
      <c r="B2" s="98"/>
      <c r="C2" s="162">
        <f>Template!K6</f>
        <v>0</v>
      </c>
      <c r="D2" s="98"/>
    </row>
    <row r="3" spans="1:5" x14ac:dyDescent="0.25">
      <c r="A3" s="33" t="s">
        <v>430</v>
      </c>
      <c r="B3" s="33" t="str">
        <f>'Tabella a.d.'!A2</f>
        <v>Packaging primario</v>
      </c>
      <c r="C3" s="158" t="e">
        <f>'Tabella a.d.'!C2/SUM('Tabella a.d.'!$C$2:$C$11)</f>
        <v>#DIV/0!</v>
      </c>
      <c r="D3" s="98"/>
    </row>
    <row r="4" spans="1:5" x14ac:dyDescent="0.25">
      <c r="A4" s="33" t="s">
        <v>431</v>
      </c>
      <c r="B4" s="33" t="str">
        <f>'Tabella a.d.'!A3</f>
        <v>Packaging secondario</v>
      </c>
      <c r="C4" s="158" t="e">
        <f>'Tabella a.d.'!C3/SUM('Tabella a.d.'!$C$2:$C$11)</f>
        <v>#REF!</v>
      </c>
      <c r="D4" s="98"/>
    </row>
    <row r="5" spans="1:5" x14ac:dyDescent="0.25">
      <c r="A5" s="33" t="s">
        <v>354</v>
      </c>
      <c r="B5" s="33" t="str">
        <f>'Tabella a.d.'!A4</f>
        <v>Packaging terziario</v>
      </c>
      <c r="C5" s="158" t="e">
        <f>'Tabella a.d.'!C4/SUM('Tabella a.d.'!$C$2:$C$11)</f>
        <v>#DIV/0!</v>
      </c>
      <c r="D5" s="98"/>
    </row>
    <row r="6" spans="1:5" x14ac:dyDescent="0.25">
      <c r="A6" s="33" t="s">
        <v>179</v>
      </c>
      <c r="B6" s="33" t="str">
        <f>'Tabella a.d.'!A5</f>
        <v>Gas alimentare protettivo</v>
      </c>
      <c r="C6" s="158" t="e">
        <f>'Tabella a.d.'!C5/SUM('Tabella a.d.'!$C$2:$C$11)</f>
        <v>#DIV/0!</v>
      </c>
      <c r="D6" s="98"/>
    </row>
    <row r="7" spans="1:5" x14ac:dyDescent="0.25">
      <c r="B7" s="33" t="str">
        <f>'Tabella a.d.'!A6</f>
        <v>Elettricità</v>
      </c>
      <c r="C7" s="158" t="e">
        <f>'Tabella a.d.'!C6/SUM('Tabella a.d.'!$C$2:$C$11)</f>
        <v>#DIV/0!</v>
      </c>
      <c r="D7" s="98"/>
    </row>
    <row r="8" spans="1:5" x14ac:dyDescent="0.25">
      <c r="B8" s="33" t="str">
        <f>'Tabella a.d.'!A7</f>
        <v>Metano</v>
      </c>
      <c r="C8" s="158" t="e">
        <f>'Tabella a.d.'!C7/SUM('Tabella a.d.'!$C$2:$C$11)</f>
        <v>#DIV/0!</v>
      </c>
      <c r="D8" s="98"/>
    </row>
    <row r="9" spans="1:5" x14ac:dyDescent="0.25">
      <c r="B9" s="33" t="str">
        <f>'Tabella a.d.'!A8</f>
        <v>Acqua</v>
      </c>
      <c r="C9" s="158" t="e">
        <f>'Tabella a.d.'!C8/SUM('Tabella a.d.'!$C$2:$C$11)</f>
        <v>#DIV/0!</v>
      </c>
      <c r="D9" s="98"/>
    </row>
    <row r="10" spans="1:5" x14ac:dyDescent="0.25">
      <c r="B10" s="33" t="str">
        <f>'Tabella a.d.'!A9</f>
        <v>Detergenti</v>
      </c>
      <c r="C10" s="158" t="e">
        <f>'Tabella a.d.'!C9/SUM('Tabella a.d.'!$C$2:$C$11)</f>
        <v>#DIV/0!</v>
      </c>
      <c r="D10" s="98"/>
    </row>
    <row r="11" spans="1:5" x14ac:dyDescent="0.25">
      <c r="B11" s="33" t="str">
        <f>'Tabella a.d.'!A10</f>
        <v>Gas refrigeranti</v>
      </c>
      <c r="C11" s="158" t="e">
        <f>'Tabella a.d.'!C10/SUM('Tabella a.d.'!$C$2:$C$11)</f>
        <v>#DIV/0!</v>
      </c>
      <c r="D11" s="98"/>
    </row>
    <row r="12" spans="1:5" x14ac:dyDescent="0.25">
      <c r="B12" s="33" t="str">
        <f>'Tabella a.d.'!A11</f>
        <v>Scarto alimentare</v>
      </c>
      <c r="C12" s="158" t="e">
        <f>'Tabella a.d.'!C11/SUM('Tabella a.d.'!$C$2:$C$11)</f>
        <v>#DIV/0!</v>
      </c>
      <c r="D12" s="98"/>
    </row>
    <row r="14" spans="1:5" x14ac:dyDescent="0.25">
      <c r="C14" s="97"/>
    </row>
    <row r="15" spans="1:5" x14ac:dyDescent="0.25">
      <c r="B15" s="98"/>
    </row>
    <row r="16" spans="1:5" x14ac:dyDescent="0.25">
      <c r="B16" s="98"/>
    </row>
    <row r="17" spans="2:2" x14ac:dyDescent="0.25">
      <c r="B17" s="9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646C8-6BFA-4B20-B9C2-3661C38B2606}">
  <sheetPr>
    <tabColor theme="4" tint="0.79998168889431442"/>
  </sheetPr>
  <dimension ref="A1:E8"/>
  <sheetViews>
    <sheetView workbookViewId="0">
      <selection activeCell="G22" sqref="G22"/>
    </sheetView>
  </sheetViews>
  <sheetFormatPr defaultColWidth="8.875" defaultRowHeight="14.3" x14ac:dyDescent="0.25"/>
  <cols>
    <col min="1" max="1" width="47.5" style="93" bestFit="1" customWidth="1"/>
    <col min="2" max="2" width="15.625" style="93" bestFit="1" customWidth="1"/>
    <col min="3" max="3" width="15.5" style="93" bestFit="1" customWidth="1"/>
    <col min="4" max="4" width="20.375" style="93" bestFit="1" customWidth="1"/>
    <col min="5" max="16384" width="8.875" style="93"/>
  </cols>
  <sheetData>
    <row r="1" spans="1:5" s="95" customFormat="1" x14ac:dyDescent="0.25">
      <c r="A1" s="95" t="s">
        <v>425</v>
      </c>
      <c r="B1" s="95" t="s">
        <v>387</v>
      </c>
      <c r="C1" s="95" t="s">
        <v>442</v>
      </c>
      <c r="D1" s="95" t="s">
        <v>436</v>
      </c>
      <c r="E1" s="120"/>
    </row>
    <row r="2" spans="1:5" x14ac:dyDescent="0.25">
      <c r="A2" s="93" t="s">
        <v>435</v>
      </c>
      <c r="C2" s="161">
        <f>Template!K6</f>
        <v>0</v>
      </c>
      <c r="D2" s="161" t="s">
        <v>363</v>
      </c>
    </row>
    <row r="3" spans="1:5" x14ac:dyDescent="0.25">
      <c r="A3" s="33" t="s">
        <v>440</v>
      </c>
      <c r="B3" s="93" t="s">
        <v>388</v>
      </c>
      <c r="C3" s="130"/>
      <c r="D3" s="180">
        <v>0.9</v>
      </c>
    </row>
    <row r="4" spans="1:5" x14ac:dyDescent="0.25">
      <c r="A4" s="33" t="s">
        <v>441</v>
      </c>
      <c r="B4" s="93" t="s">
        <v>389</v>
      </c>
      <c r="C4" s="130"/>
      <c r="D4" s="180">
        <v>0.05</v>
      </c>
    </row>
    <row r="5" spans="1:5" x14ac:dyDescent="0.25">
      <c r="B5" s="93" t="s">
        <v>177</v>
      </c>
      <c r="C5" s="180">
        <f ca="1">SUM('Ciambella confezionamento'!C3:C12)/SUM($C$3:$C$8)</f>
        <v>0</v>
      </c>
      <c r="D5" s="180">
        <v>0.03</v>
      </c>
    </row>
    <row r="6" spans="1:5" x14ac:dyDescent="0.25">
      <c r="B6" s="93" t="s">
        <v>369</v>
      </c>
      <c r="C6" s="130"/>
      <c r="D6" s="180">
        <v>0.01</v>
      </c>
    </row>
    <row r="7" spans="1:5" x14ac:dyDescent="0.25">
      <c r="B7" s="93" t="s">
        <v>433</v>
      </c>
      <c r="C7" s="130"/>
      <c r="D7" s="181">
        <v>8.0000000000000002E-3</v>
      </c>
    </row>
    <row r="8" spans="1:5" x14ac:dyDescent="0.25">
      <c r="B8" s="93" t="s">
        <v>434</v>
      </c>
      <c r="C8" s="130"/>
      <c r="D8" s="181">
        <v>2E-3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5"/>
  <dimension ref="A1:L118"/>
  <sheetViews>
    <sheetView zoomScale="120" zoomScaleNormal="120" workbookViewId="0"/>
  </sheetViews>
  <sheetFormatPr defaultRowHeight="14.3" x14ac:dyDescent="0.25"/>
  <cols>
    <col min="2" max="2" width="35.5" customWidth="1"/>
    <col min="3" max="3" width="16.625" customWidth="1"/>
    <col min="4" max="4" width="10.875" customWidth="1"/>
    <col min="5" max="5" width="15.5" customWidth="1"/>
    <col min="6" max="6" width="19.5" customWidth="1"/>
    <col min="8" max="8" width="19.5" customWidth="1"/>
    <col min="9" max="9" width="26.375" customWidth="1"/>
  </cols>
  <sheetData>
    <row r="1" spans="1:12" x14ac:dyDescent="0.25">
      <c r="A1" s="1"/>
      <c r="B1" s="28"/>
      <c r="C1" s="28"/>
      <c r="D1" s="28"/>
      <c r="E1" s="28"/>
      <c r="F1" s="28"/>
      <c r="G1" s="28"/>
      <c r="H1" s="28"/>
      <c r="I1" s="28"/>
      <c r="J1" s="28"/>
      <c r="K1" s="28"/>
      <c r="L1" s="28"/>
    </row>
    <row r="2" spans="1:12" x14ac:dyDescent="0.25">
      <c r="A2" s="1"/>
      <c r="B2" s="1"/>
      <c r="C2" s="1"/>
      <c r="D2" s="1"/>
      <c r="E2" s="1"/>
      <c r="F2" s="1"/>
      <c r="G2" s="1"/>
      <c r="H2" s="28"/>
      <c r="I2" s="28"/>
      <c r="J2" s="28"/>
      <c r="K2" s="28"/>
      <c r="L2" s="28"/>
    </row>
    <row r="3" spans="1:12" x14ac:dyDescent="0.25">
      <c r="A3" s="1"/>
      <c r="B3" s="1"/>
      <c r="C3" s="1"/>
      <c r="D3" s="1"/>
      <c r="E3" s="1"/>
      <c r="F3" s="1"/>
      <c r="G3" s="1"/>
      <c r="H3" s="28"/>
      <c r="I3" s="28"/>
      <c r="J3" s="28"/>
      <c r="K3" s="28"/>
      <c r="L3" s="28"/>
    </row>
    <row r="4" spans="1:12" x14ac:dyDescent="0.25">
      <c r="A4" s="1"/>
      <c r="B4" s="68" t="s">
        <v>82</v>
      </c>
      <c r="C4" s="64" t="s">
        <v>5</v>
      </c>
      <c r="D4" s="64" t="s">
        <v>90</v>
      </c>
      <c r="E4" s="64" t="s">
        <v>89</v>
      </c>
      <c r="F4" s="64" t="s">
        <v>91</v>
      </c>
      <c r="G4" s="28"/>
      <c r="H4" s="64" t="s">
        <v>133</v>
      </c>
      <c r="I4" s="64" t="s">
        <v>17</v>
      </c>
      <c r="J4" s="28"/>
      <c r="K4" s="28"/>
      <c r="L4" s="28"/>
    </row>
    <row r="5" spans="1:12" x14ac:dyDescent="0.25">
      <c r="A5" s="1"/>
      <c r="B5" s="51" t="s">
        <v>22</v>
      </c>
      <c r="C5" s="57" t="e">
        <f>#REF!</f>
        <v>#REF!</v>
      </c>
      <c r="D5" s="41" t="e">
        <f>#REF!</f>
        <v>#REF!</v>
      </c>
      <c r="E5" s="57" t="e">
        <f>C5*D5</f>
        <v>#REF!</v>
      </c>
      <c r="F5" s="41" t="e">
        <f t="shared" ref="F5:F11" si="0">E5/$E$12</f>
        <v>#REF!</v>
      </c>
      <c r="G5" s="28"/>
      <c r="H5" s="85" t="s">
        <v>134</v>
      </c>
      <c r="I5" s="57" t="e">
        <f>#REF!*F5</f>
        <v>#REF!</v>
      </c>
      <c r="J5" s="28"/>
      <c r="K5" s="28"/>
      <c r="L5" s="28"/>
    </row>
    <row r="6" spans="1:12" x14ac:dyDescent="0.25">
      <c r="A6" s="1"/>
      <c r="B6" s="53" t="s">
        <v>21</v>
      </c>
      <c r="C6" s="57" t="e">
        <f>#REF!</f>
        <v>#REF!</v>
      </c>
      <c r="D6" s="41" t="e">
        <f>#REF!</f>
        <v>#REF!</v>
      </c>
      <c r="E6" s="57" t="e">
        <f t="shared" ref="E6:E11" si="1">C6*D6</f>
        <v>#REF!</v>
      </c>
      <c r="F6" s="41" t="e">
        <f t="shared" si="0"/>
        <v>#REF!</v>
      </c>
      <c r="G6" s="28"/>
      <c r="H6" s="1"/>
      <c r="I6" s="1"/>
      <c r="J6" s="28"/>
      <c r="K6" s="28"/>
      <c r="L6" s="28"/>
    </row>
    <row r="7" spans="1:12" x14ac:dyDescent="0.25">
      <c r="A7" s="1"/>
      <c r="B7" s="53" t="s">
        <v>149</v>
      </c>
      <c r="C7" s="57" t="e">
        <f>#REF!</f>
        <v>#REF!</v>
      </c>
      <c r="D7" s="41" t="e">
        <f>#REF!</f>
        <v>#REF!</v>
      </c>
      <c r="E7" s="57" t="e">
        <f t="shared" si="1"/>
        <v>#REF!</v>
      </c>
      <c r="F7" s="41" t="e">
        <f t="shared" si="0"/>
        <v>#REF!</v>
      </c>
      <c r="G7" s="28"/>
      <c r="H7" s="28"/>
      <c r="I7" s="28"/>
      <c r="J7" s="28"/>
      <c r="K7" s="28"/>
      <c r="L7" s="28"/>
    </row>
    <row r="8" spans="1:12" x14ac:dyDescent="0.25">
      <c r="A8" s="1"/>
      <c r="B8" s="53" t="s">
        <v>150</v>
      </c>
      <c r="C8" s="57" t="e">
        <f>#REF!</f>
        <v>#REF!</v>
      </c>
      <c r="D8" s="41" t="e">
        <f>#REF!</f>
        <v>#REF!</v>
      </c>
      <c r="E8" s="57" t="e">
        <f t="shared" si="1"/>
        <v>#REF!</v>
      </c>
      <c r="F8" s="41" t="e">
        <f t="shared" si="0"/>
        <v>#REF!</v>
      </c>
      <c r="G8" s="28"/>
      <c r="H8" s="28"/>
      <c r="I8" s="28"/>
      <c r="J8" s="28"/>
      <c r="K8" s="28"/>
      <c r="L8" s="28"/>
    </row>
    <row r="9" spans="1:12" x14ac:dyDescent="0.25">
      <c r="A9" s="1"/>
      <c r="B9" s="53" t="s">
        <v>151</v>
      </c>
      <c r="C9" s="57" t="e">
        <f>#REF!</f>
        <v>#REF!</v>
      </c>
      <c r="D9" s="41" t="e">
        <f>#REF!</f>
        <v>#REF!</v>
      </c>
      <c r="E9" s="57" t="e">
        <f t="shared" si="1"/>
        <v>#REF!</v>
      </c>
      <c r="F9" s="41" t="e">
        <f t="shared" si="0"/>
        <v>#REF!</v>
      </c>
      <c r="G9" s="28"/>
      <c r="H9" s="28"/>
      <c r="I9" s="28"/>
      <c r="J9" s="28"/>
      <c r="K9" s="28"/>
      <c r="L9" s="28"/>
    </row>
    <row r="10" spans="1:12" x14ac:dyDescent="0.25">
      <c r="A10" s="1"/>
      <c r="B10" s="56" t="s">
        <v>83</v>
      </c>
      <c r="C10" s="59" t="e">
        <f>#REF!</f>
        <v>#REF!</v>
      </c>
      <c r="D10" s="60" t="e">
        <f>#REF!</f>
        <v>#REF!</v>
      </c>
      <c r="E10" s="57" t="e">
        <f t="shared" si="1"/>
        <v>#REF!</v>
      </c>
      <c r="F10" s="41" t="e">
        <f t="shared" si="0"/>
        <v>#REF!</v>
      </c>
      <c r="G10" s="28"/>
      <c r="H10" s="28"/>
      <c r="I10" s="28"/>
      <c r="J10" s="28"/>
      <c r="K10" s="28"/>
      <c r="L10" s="28"/>
    </row>
    <row r="11" spans="1:12" x14ac:dyDescent="0.25">
      <c r="A11" s="1"/>
      <c r="B11" s="56" t="s">
        <v>84</v>
      </c>
      <c r="C11" s="59" t="e">
        <f>#REF!</f>
        <v>#REF!</v>
      </c>
      <c r="D11" s="60" t="e">
        <f>#REF!</f>
        <v>#REF!</v>
      </c>
      <c r="E11" s="57" t="e">
        <f t="shared" si="1"/>
        <v>#REF!</v>
      </c>
      <c r="F11" s="41" t="e">
        <f t="shared" si="0"/>
        <v>#REF!</v>
      </c>
      <c r="G11" s="28"/>
      <c r="H11" s="28"/>
      <c r="I11" s="28"/>
      <c r="J11" s="28"/>
      <c r="K11" s="28"/>
      <c r="L11" s="28"/>
    </row>
    <row r="12" spans="1:12" x14ac:dyDescent="0.25">
      <c r="A12" s="1"/>
      <c r="B12" s="54" t="s">
        <v>86</v>
      </c>
      <c r="C12" s="58" t="e">
        <f>SUM(C5:C11)</f>
        <v>#REF!</v>
      </c>
      <c r="D12" s="57" t="s">
        <v>6</v>
      </c>
      <c r="E12" s="58" t="e">
        <f>SUM(E5:E11)</f>
        <v>#REF!</v>
      </c>
      <c r="F12" s="41" t="e">
        <f>SUM(F5:F11)</f>
        <v>#REF!</v>
      </c>
      <c r="G12" s="28"/>
      <c r="H12" s="28"/>
      <c r="I12" s="28"/>
      <c r="J12" s="28"/>
      <c r="K12" s="28"/>
      <c r="L12" s="28"/>
    </row>
    <row r="13" spans="1:12" x14ac:dyDescent="0.25">
      <c r="A13" s="1"/>
      <c r="B13" s="63" t="s">
        <v>85</v>
      </c>
      <c r="C13" s="64" t="s">
        <v>20</v>
      </c>
      <c r="D13" s="64" t="s">
        <v>5</v>
      </c>
      <c r="E13" s="64" t="s">
        <v>91</v>
      </c>
      <c r="F13" s="64" t="s">
        <v>92</v>
      </c>
      <c r="G13" s="28"/>
      <c r="H13" s="28"/>
      <c r="I13" s="28"/>
      <c r="J13" s="28"/>
      <c r="K13" s="28"/>
      <c r="L13" s="28"/>
    </row>
    <row r="14" spans="1:12" x14ac:dyDescent="0.25">
      <c r="A14" s="1"/>
      <c r="B14" s="51" t="s">
        <v>22</v>
      </c>
      <c r="C14" s="57" t="e">
        <f>#REF!*#REF!</f>
        <v>#REF!</v>
      </c>
      <c r="D14" s="57" t="e">
        <f>C14/1000</f>
        <v>#REF!</v>
      </c>
      <c r="E14" s="41" t="e">
        <f t="shared" ref="E14:E20" si="2">F5</f>
        <v>#REF!</v>
      </c>
      <c r="F14" s="57" t="e">
        <f t="shared" ref="F14:F20" si="3">D14+($D$22-$D$21)*E14</f>
        <v>#REF!</v>
      </c>
      <c r="G14" s="28"/>
      <c r="H14" s="28"/>
      <c r="I14" s="28"/>
      <c r="J14" s="28"/>
      <c r="K14" s="28"/>
      <c r="L14" s="28"/>
    </row>
    <row r="15" spans="1:12" x14ac:dyDescent="0.25">
      <c r="A15" s="1"/>
      <c r="B15" s="53" t="s">
        <v>21</v>
      </c>
      <c r="C15" s="57" t="e">
        <f>#REF!*#REF!</f>
        <v>#REF!</v>
      </c>
      <c r="D15" s="57" t="e">
        <f t="shared" ref="D15:D20" si="4">C15/1000</f>
        <v>#REF!</v>
      </c>
      <c r="E15" s="41" t="e">
        <f t="shared" si="2"/>
        <v>#REF!</v>
      </c>
      <c r="F15" s="57" t="e">
        <f t="shared" si="3"/>
        <v>#REF!</v>
      </c>
      <c r="G15" s="28"/>
      <c r="H15" s="28"/>
      <c r="I15" s="28"/>
      <c r="J15" s="28"/>
      <c r="K15" s="28"/>
      <c r="L15" s="28"/>
    </row>
    <row r="16" spans="1:12" x14ac:dyDescent="0.25">
      <c r="A16" s="1"/>
      <c r="B16" s="53" t="s">
        <v>149</v>
      </c>
      <c r="C16" s="57" t="e">
        <f>#REF!*#REF!</f>
        <v>#REF!</v>
      </c>
      <c r="D16" s="57" t="e">
        <f t="shared" si="4"/>
        <v>#REF!</v>
      </c>
      <c r="E16" s="41" t="e">
        <f t="shared" si="2"/>
        <v>#REF!</v>
      </c>
      <c r="F16" s="57" t="e">
        <f t="shared" si="3"/>
        <v>#REF!</v>
      </c>
      <c r="G16" s="28"/>
      <c r="H16" s="28"/>
      <c r="I16" s="28"/>
      <c r="J16" s="28"/>
      <c r="K16" s="28"/>
      <c r="L16" s="28"/>
    </row>
    <row r="17" spans="1:12" x14ac:dyDescent="0.25">
      <c r="A17" s="1"/>
      <c r="B17" s="53" t="s">
        <v>150</v>
      </c>
      <c r="C17" s="57" t="e">
        <f>#REF!*#REF!</f>
        <v>#REF!</v>
      </c>
      <c r="D17" s="57" t="e">
        <f t="shared" si="4"/>
        <v>#REF!</v>
      </c>
      <c r="E17" s="41" t="e">
        <f t="shared" si="2"/>
        <v>#REF!</v>
      </c>
      <c r="F17" s="57" t="e">
        <f t="shared" si="3"/>
        <v>#REF!</v>
      </c>
      <c r="G17" s="28"/>
      <c r="H17" s="28"/>
      <c r="I17" s="28"/>
      <c r="J17" s="28"/>
      <c r="K17" s="28"/>
      <c r="L17" s="28"/>
    </row>
    <row r="18" spans="1:12" x14ac:dyDescent="0.25">
      <c r="A18" s="1"/>
      <c r="B18" s="53" t="s">
        <v>151</v>
      </c>
      <c r="C18" s="57" t="e">
        <f>#REF!*#REF!</f>
        <v>#REF!</v>
      </c>
      <c r="D18" s="57" t="e">
        <f t="shared" si="4"/>
        <v>#REF!</v>
      </c>
      <c r="E18" s="41" t="e">
        <f t="shared" si="2"/>
        <v>#REF!</v>
      </c>
      <c r="F18" s="57" t="e">
        <f t="shared" si="3"/>
        <v>#REF!</v>
      </c>
      <c r="G18" s="28"/>
      <c r="H18" s="28"/>
      <c r="I18" s="28"/>
      <c r="J18" s="28"/>
      <c r="K18" s="28"/>
      <c r="L18" s="28"/>
    </row>
    <row r="19" spans="1:12" x14ac:dyDescent="0.25">
      <c r="A19" s="1"/>
      <c r="B19" s="56" t="s">
        <v>83</v>
      </c>
      <c r="C19" s="83">
        <v>0</v>
      </c>
      <c r="D19" s="57">
        <f t="shared" si="4"/>
        <v>0</v>
      </c>
      <c r="E19" s="41" t="e">
        <f t="shared" si="2"/>
        <v>#REF!</v>
      </c>
      <c r="F19" s="57" t="e">
        <f t="shared" si="3"/>
        <v>#REF!</v>
      </c>
      <c r="G19" s="28"/>
      <c r="H19" s="28"/>
      <c r="I19" s="28"/>
      <c r="J19" s="28"/>
      <c r="K19" s="28"/>
      <c r="L19" s="28"/>
    </row>
    <row r="20" spans="1:12" x14ac:dyDescent="0.25">
      <c r="A20" s="1"/>
      <c r="B20" s="56" t="s">
        <v>84</v>
      </c>
      <c r="C20" s="83">
        <v>0</v>
      </c>
      <c r="D20" s="57">
        <f t="shared" si="4"/>
        <v>0</v>
      </c>
      <c r="E20" s="41" t="e">
        <f t="shared" si="2"/>
        <v>#REF!</v>
      </c>
      <c r="F20" s="57" t="e">
        <f t="shared" si="3"/>
        <v>#REF!</v>
      </c>
      <c r="G20" s="28"/>
      <c r="H20" s="28"/>
      <c r="I20" s="28"/>
      <c r="J20" s="28"/>
      <c r="K20" s="28"/>
      <c r="L20" s="28"/>
    </row>
    <row r="21" spans="1:12" x14ac:dyDescent="0.25">
      <c r="A21" s="1"/>
      <c r="B21" s="55" t="s">
        <v>86</v>
      </c>
      <c r="C21" s="58" t="e">
        <f>SUM(C14:C20)</f>
        <v>#REF!</v>
      </c>
      <c r="D21" s="58" t="e">
        <f>C21/1000</f>
        <v>#REF!</v>
      </c>
      <c r="E21" s="196" t="e">
        <f>SUM(E14:E20)</f>
        <v>#REF!</v>
      </c>
      <c r="F21" s="58" t="e">
        <f>SUM(F14:F20)</f>
        <v>#REF!</v>
      </c>
      <c r="G21" s="28"/>
      <c r="H21" s="28"/>
      <c r="I21" s="28"/>
      <c r="J21" s="28"/>
      <c r="K21" s="28"/>
      <c r="L21" s="28"/>
    </row>
    <row r="22" spans="1:12" x14ac:dyDescent="0.25">
      <c r="A22" s="1"/>
      <c r="B22" s="55" t="s">
        <v>87</v>
      </c>
      <c r="C22" s="58" t="e">
        <f>#REF!*1000</f>
        <v>#REF!</v>
      </c>
      <c r="D22" s="58" t="e">
        <f>C22/1000</f>
        <v>#REF!</v>
      </c>
      <c r="E22" s="197"/>
      <c r="F22" s="58" t="e">
        <f>D22</f>
        <v>#REF!</v>
      </c>
      <c r="G22" s="28"/>
      <c r="H22" s="28"/>
      <c r="I22" s="28"/>
      <c r="J22" s="28"/>
      <c r="K22" s="28"/>
      <c r="L22" s="28"/>
    </row>
    <row r="23" spans="1:12" x14ac:dyDescent="0.25">
      <c r="A23" s="1"/>
      <c r="B23" s="63" t="s">
        <v>88</v>
      </c>
      <c r="C23" s="64" t="s">
        <v>158</v>
      </c>
      <c r="D23" s="64" t="s">
        <v>157</v>
      </c>
      <c r="E23" s="64" t="s">
        <v>91</v>
      </c>
      <c r="F23" s="64" t="s">
        <v>93</v>
      </c>
      <c r="G23" s="28"/>
      <c r="H23" s="28"/>
      <c r="I23" s="28"/>
      <c r="J23" s="28"/>
      <c r="K23" s="28"/>
      <c r="L23" s="28"/>
    </row>
    <row r="24" spans="1:12" x14ac:dyDescent="0.25">
      <c r="A24" s="1"/>
      <c r="B24" s="51" t="s">
        <v>22</v>
      </c>
      <c r="C24" s="66" t="e">
        <f>#REF!</f>
        <v>#REF!</v>
      </c>
      <c r="D24" s="40" t="e">
        <f>C24*D5</f>
        <v>#REF!</v>
      </c>
      <c r="E24" s="49" t="e">
        <f>D24/$D$29</f>
        <v>#REF!</v>
      </c>
      <c r="F24" s="40" t="e">
        <f>C24+($C$30-$C$29)*E24</f>
        <v>#REF!</v>
      </c>
      <c r="G24" s="28"/>
      <c r="H24" s="28"/>
      <c r="I24" s="28"/>
      <c r="J24" s="28"/>
      <c r="K24" s="28"/>
      <c r="L24" s="28"/>
    </row>
    <row r="25" spans="1:12" x14ac:dyDescent="0.25">
      <c r="A25" s="1"/>
      <c r="B25" s="53" t="s">
        <v>21</v>
      </c>
      <c r="C25" s="66" t="e">
        <f>#REF!</f>
        <v>#REF!</v>
      </c>
      <c r="D25" s="40" t="e">
        <f>C25*D6</f>
        <v>#REF!</v>
      </c>
      <c r="E25" s="49" t="e">
        <f>D25/$D$29</f>
        <v>#REF!</v>
      </c>
      <c r="F25" s="40" t="e">
        <f>C25+($C$30-$C$29)*E25</f>
        <v>#REF!</v>
      </c>
      <c r="G25" s="28"/>
      <c r="H25" s="28"/>
      <c r="I25" s="28"/>
      <c r="J25" s="28"/>
      <c r="K25" s="28"/>
      <c r="L25" s="28"/>
    </row>
    <row r="26" spans="1:12" x14ac:dyDescent="0.25">
      <c r="A26" s="1"/>
      <c r="B26" s="53" t="s">
        <v>149</v>
      </c>
      <c r="C26" s="66" t="e">
        <f>#REF!/#REF!</f>
        <v>#REF!</v>
      </c>
      <c r="D26" s="40" t="e">
        <f>C26*D7</f>
        <v>#REF!</v>
      </c>
      <c r="E26" s="49" t="e">
        <f>D26/$D$29</f>
        <v>#REF!</v>
      </c>
      <c r="F26" s="40" t="e">
        <f>C26+($C$30-$C$29)*E26</f>
        <v>#REF!</v>
      </c>
      <c r="G26" s="28"/>
      <c r="H26" s="28"/>
      <c r="I26" s="28"/>
      <c r="J26" s="28"/>
      <c r="K26" s="28"/>
      <c r="L26" s="28"/>
    </row>
    <row r="27" spans="1:12" x14ac:dyDescent="0.25">
      <c r="A27" s="1"/>
      <c r="B27" s="53" t="s">
        <v>150</v>
      </c>
      <c r="C27" s="66" t="e">
        <f>#REF!/#REF!</f>
        <v>#REF!</v>
      </c>
      <c r="D27" s="40" t="e">
        <f>C27*D8</f>
        <v>#REF!</v>
      </c>
      <c r="E27" s="49" t="e">
        <f>D27/$D$29</f>
        <v>#REF!</v>
      </c>
      <c r="F27" s="40" t="e">
        <f>C27+($C$30-$C$29)*E27</f>
        <v>#REF!</v>
      </c>
      <c r="G27" s="28"/>
      <c r="H27" s="28"/>
      <c r="I27" s="28"/>
      <c r="J27" s="28"/>
      <c r="K27" s="28"/>
      <c r="L27" s="28"/>
    </row>
    <row r="28" spans="1:12" x14ac:dyDescent="0.25">
      <c r="A28" s="1"/>
      <c r="B28" s="53" t="s">
        <v>151</v>
      </c>
      <c r="C28" s="66" t="e">
        <f>#REF!/#REF!</f>
        <v>#REF!</v>
      </c>
      <c r="D28" s="40" t="e">
        <f>C28*D9</f>
        <v>#REF!</v>
      </c>
      <c r="E28" s="49" t="e">
        <f>D28/$D$29</f>
        <v>#REF!</v>
      </c>
      <c r="F28" s="40" t="e">
        <f>C28+($C$30-$C$29)*E28</f>
        <v>#REF!</v>
      </c>
      <c r="G28" s="28"/>
      <c r="H28" s="28"/>
      <c r="I28" s="28"/>
      <c r="J28" s="28"/>
      <c r="K28" s="28"/>
      <c r="L28" s="28"/>
    </row>
    <row r="29" spans="1:12" x14ac:dyDescent="0.25">
      <c r="A29" s="1"/>
      <c r="B29" s="55" t="s">
        <v>94</v>
      </c>
      <c r="C29" s="67" t="e">
        <f>SUM(C24:C28)</f>
        <v>#REF!</v>
      </c>
      <c r="D29" s="65" t="e">
        <f>SUM(D24:D28)</f>
        <v>#REF!</v>
      </c>
      <c r="E29" s="69" t="e">
        <f>SUM(E24:E28)</f>
        <v>#REF!</v>
      </c>
      <c r="F29" s="65" t="e">
        <f>SUM(F24:F28)</f>
        <v>#REF!</v>
      </c>
      <c r="G29" s="28"/>
      <c r="H29" s="28"/>
      <c r="I29" s="28"/>
      <c r="J29" s="28"/>
      <c r="K29" s="28"/>
      <c r="L29" s="28"/>
    </row>
    <row r="30" spans="1:12" x14ac:dyDescent="0.25">
      <c r="A30" s="1"/>
      <c r="B30" s="55" t="s">
        <v>95</v>
      </c>
      <c r="C30" s="67" t="e">
        <f>#REF!*1000</f>
        <v>#REF!</v>
      </c>
      <c r="D30" s="65" t="s">
        <v>6</v>
      </c>
      <c r="E30" s="65" t="s">
        <v>6</v>
      </c>
      <c r="F30" s="65" t="e">
        <f>C30</f>
        <v>#REF!</v>
      </c>
      <c r="G30" s="28"/>
      <c r="H30" s="28"/>
      <c r="I30" s="28"/>
      <c r="J30" s="28"/>
      <c r="K30" s="28"/>
      <c r="L30" s="28"/>
    </row>
    <row r="31" spans="1:12" x14ac:dyDescent="0.25">
      <c r="A31" s="1"/>
      <c r="B31" s="1"/>
      <c r="C31" s="1"/>
      <c r="D31" s="1"/>
      <c r="E31" s="1"/>
      <c r="F31" s="1"/>
      <c r="G31" s="28"/>
      <c r="H31" s="28"/>
      <c r="I31" s="28"/>
      <c r="J31" s="28"/>
      <c r="K31" s="28"/>
      <c r="L31" s="28"/>
    </row>
    <row r="32" spans="1:12" x14ac:dyDescent="0.25">
      <c r="A32" s="1"/>
      <c r="B32" s="1"/>
      <c r="C32" s="1"/>
      <c r="D32" s="1"/>
      <c r="E32" s="1"/>
      <c r="F32" s="1"/>
      <c r="G32" s="28"/>
      <c r="H32" s="28"/>
      <c r="I32" s="28"/>
      <c r="J32" s="28"/>
      <c r="K32" s="28"/>
      <c r="L32" s="28"/>
    </row>
    <row r="33" spans="1:12" x14ac:dyDescent="0.25">
      <c r="A33" s="1"/>
      <c r="B33" s="1"/>
      <c r="C33" s="1"/>
      <c r="D33" s="1"/>
      <c r="E33" s="1"/>
      <c r="F33" s="1"/>
      <c r="G33" s="28"/>
      <c r="H33" s="28"/>
      <c r="I33" s="28"/>
      <c r="J33" s="28"/>
      <c r="K33" s="28"/>
      <c r="L33" s="28"/>
    </row>
    <row r="34" spans="1:12" ht="14.95" customHeight="1" x14ac:dyDescent="0.25">
      <c r="A34" s="1"/>
      <c r="B34" s="1"/>
      <c r="C34" s="1"/>
      <c r="D34" s="1"/>
      <c r="E34" s="1"/>
      <c r="F34" s="1"/>
      <c r="G34" s="28"/>
      <c r="H34" s="28"/>
      <c r="I34" s="28"/>
      <c r="J34" s="28"/>
      <c r="K34" s="28"/>
      <c r="L34" s="28"/>
    </row>
    <row r="35" spans="1:12" x14ac:dyDescent="0.25">
      <c r="A35" s="1"/>
      <c r="B35" s="1"/>
      <c r="C35" s="1"/>
      <c r="D35" s="1"/>
      <c r="E35" s="1"/>
      <c r="F35" s="1"/>
      <c r="G35" s="28"/>
      <c r="H35" s="28"/>
      <c r="I35" s="28"/>
      <c r="J35" s="28"/>
      <c r="K35" s="28"/>
      <c r="L35" s="28"/>
    </row>
    <row r="36" spans="1:12" x14ac:dyDescent="0.25">
      <c r="A36" s="1"/>
      <c r="B36" s="1"/>
      <c r="C36" s="1"/>
      <c r="D36" s="1"/>
      <c r="E36" s="1"/>
      <c r="F36" s="1"/>
      <c r="G36" s="28"/>
      <c r="H36" s="28"/>
      <c r="I36" s="28"/>
      <c r="J36" s="28"/>
      <c r="K36" s="28"/>
      <c r="L36" s="28"/>
    </row>
    <row r="37" spans="1:12" x14ac:dyDescent="0.25">
      <c r="A37" s="1"/>
      <c r="B37" s="1"/>
      <c r="C37" s="1"/>
      <c r="D37" s="1"/>
      <c r="E37" s="1"/>
      <c r="F37" s="1"/>
      <c r="G37" s="28"/>
      <c r="H37" s="28"/>
      <c r="I37" s="28"/>
      <c r="J37" s="28"/>
      <c r="K37" s="28"/>
      <c r="L37" s="28"/>
    </row>
    <row r="38" spans="1:12" x14ac:dyDescent="0.25">
      <c r="A38" s="1"/>
      <c r="B38" s="1"/>
      <c r="C38" s="1"/>
      <c r="D38" s="1"/>
      <c r="E38" s="1"/>
      <c r="F38" s="1"/>
      <c r="G38" s="28"/>
      <c r="H38" s="28"/>
      <c r="I38" s="28"/>
      <c r="J38" s="28"/>
      <c r="K38" s="28"/>
      <c r="L38" s="28"/>
    </row>
    <row r="39" spans="1:12" x14ac:dyDescent="0.25">
      <c r="A39" s="1"/>
      <c r="B39" s="1"/>
      <c r="C39" s="1"/>
      <c r="D39" s="1"/>
      <c r="E39" s="1"/>
      <c r="F39" s="1"/>
      <c r="G39" s="28"/>
      <c r="H39" s="28"/>
      <c r="I39" s="28"/>
      <c r="J39" s="28"/>
      <c r="K39" s="28"/>
      <c r="L39" s="28"/>
    </row>
    <row r="40" spans="1:12" x14ac:dyDescent="0.25">
      <c r="A40" s="1"/>
      <c r="B40" s="1"/>
      <c r="C40" s="1"/>
      <c r="D40" s="1"/>
      <c r="E40" s="1"/>
      <c r="F40" s="1"/>
      <c r="G40" s="28"/>
      <c r="H40" s="28"/>
      <c r="I40" s="28"/>
      <c r="J40" s="28"/>
      <c r="K40" s="28"/>
      <c r="L40" s="28"/>
    </row>
    <row r="41" spans="1:12" x14ac:dyDescent="0.25">
      <c r="A41" s="1"/>
      <c r="B41" s="1"/>
      <c r="C41" s="1"/>
      <c r="D41" s="1"/>
      <c r="E41" s="1"/>
      <c r="F41" s="1"/>
      <c r="G41" s="28"/>
      <c r="H41" s="28"/>
      <c r="I41" s="28"/>
      <c r="J41" s="28"/>
      <c r="K41" s="28"/>
      <c r="L41" s="28"/>
    </row>
    <row r="42" spans="1:12" x14ac:dyDescent="0.25">
      <c r="A42" s="1"/>
      <c r="B42" s="1"/>
      <c r="C42" s="1"/>
      <c r="D42" s="1"/>
      <c r="E42" s="1"/>
      <c r="F42" s="1"/>
      <c r="G42" s="28"/>
      <c r="H42" s="28"/>
      <c r="I42" s="28"/>
      <c r="J42" s="28"/>
      <c r="K42" s="28"/>
      <c r="L42" s="28"/>
    </row>
    <row r="43" spans="1:12" x14ac:dyDescent="0.25">
      <c r="A43" s="1"/>
      <c r="B43" s="1"/>
      <c r="C43" s="1"/>
      <c r="D43" s="1"/>
      <c r="E43" s="1"/>
      <c r="F43" s="1"/>
      <c r="G43" s="28"/>
      <c r="H43" s="28"/>
      <c r="I43" s="28"/>
      <c r="J43" s="28"/>
      <c r="K43" s="28"/>
      <c r="L43" s="28"/>
    </row>
    <row r="44" spans="1:12" x14ac:dyDescent="0.25">
      <c r="A44" s="1"/>
      <c r="B44" s="1"/>
      <c r="C44" s="1"/>
      <c r="D44" s="1"/>
      <c r="E44" s="1"/>
      <c r="F44" s="1"/>
      <c r="G44" s="28"/>
      <c r="H44" s="28"/>
      <c r="I44" s="28"/>
      <c r="J44" s="28"/>
      <c r="K44" s="28"/>
      <c r="L44" s="28"/>
    </row>
    <row r="45" spans="1:12" x14ac:dyDescent="0.25">
      <c r="A45" s="1"/>
      <c r="B45" s="1"/>
      <c r="C45" s="1"/>
      <c r="D45" s="1"/>
      <c r="E45" s="1"/>
      <c r="F45" s="1"/>
      <c r="G45" s="28"/>
      <c r="H45" s="28"/>
      <c r="I45" s="28"/>
      <c r="J45" s="28"/>
      <c r="K45" s="28"/>
      <c r="L45" s="28"/>
    </row>
    <row r="46" spans="1:12" x14ac:dyDescent="0.25">
      <c r="A46" s="1"/>
      <c r="B46" s="1"/>
      <c r="C46" s="1"/>
      <c r="D46" s="1"/>
      <c r="E46" s="1"/>
      <c r="F46" s="1"/>
      <c r="G46" s="28"/>
      <c r="H46" s="28"/>
      <c r="I46" s="28"/>
      <c r="J46" s="28"/>
      <c r="K46" s="28"/>
      <c r="L46" s="28"/>
    </row>
    <row r="47" spans="1:12" x14ac:dyDescent="0.25">
      <c r="A47" s="1"/>
      <c r="B47" s="1"/>
      <c r="C47" s="1"/>
      <c r="D47" s="1"/>
      <c r="E47" s="1"/>
      <c r="F47" s="1"/>
      <c r="G47" s="28"/>
      <c r="H47" s="28"/>
      <c r="I47" s="28"/>
      <c r="J47" s="28"/>
      <c r="K47" s="28"/>
      <c r="L47" s="28"/>
    </row>
    <row r="48" spans="1:12" x14ac:dyDescent="0.25">
      <c r="A48" s="1"/>
      <c r="B48" s="1"/>
      <c r="C48" s="1"/>
      <c r="D48" s="1"/>
      <c r="E48" s="1"/>
      <c r="F48" s="1"/>
      <c r="G48" s="28"/>
      <c r="H48" s="28"/>
      <c r="I48" s="28"/>
      <c r="J48" s="28"/>
      <c r="K48" s="28"/>
      <c r="L48" s="28"/>
    </row>
    <row r="49" spans="1:12" x14ac:dyDescent="0.25">
      <c r="A49" s="1"/>
      <c r="B49" s="1"/>
      <c r="C49" s="1"/>
      <c r="D49" s="1"/>
      <c r="E49" s="1"/>
      <c r="F49" s="1"/>
      <c r="G49" s="28"/>
      <c r="H49" s="28"/>
      <c r="I49" s="28"/>
      <c r="J49" s="28"/>
      <c r="K49" s="28"/>
      <c r="L49" s="28"/>
    </row>
    <row r="50" spans="1:12" x14ac:dyDescent="0.25">
      <c r="A50" s="1"/>
      <c r="B50" s="1"/>
      <c r="C50" s="1"/>
      <c r="D50" s="1"/>
      <c r="E50" s="1"/>
      <c r="F50" s="1"/>
      <c r="G50" s="28"/>
      <c r="H50" s="28"/>
      <c r="I50" s="28"/>
      <c r="J50" s="28"/>
      <c r="K50" s="28"/>
      <c r="L50" s="28"/>
    </row>
    <row r="51" spans="1:12" x14ac:dyDescent="0.25">
      <c r="A51" s="1"/>
      <c r="B51" s="1"/>
      <c r="C51" s="1"/>
      <c r="D51" s="1"/>
      <c r="E51" s="1"/>
      <c r="F51" s="1"/>
      <c r="G51" s="28"/>
      <c r="H51" s="28"/>
      <c r="I51" s="28"/>
      <c r="J51" s="28"/>
      <c r="K51" s="28"/>
      <c r="L51" s="28"/>
    </row>
    <row r="52" spans="1:12" x14ac:dyDescent="0.25">
      <c r="A52" s="1"/>
      <c r="B52" s="1"/>
      <c r="C52" s="1"/>
      <c r="D52" s="1"/>
      <c r="E52" s="1"/>
      <c r="F52" s="1"/>
      <c r="G52" s="28"/>
      <c r="H52" s="28"/>
      <c r="I52" s="28"/>
      <c r="J52" s="28"/>
      <c r="K52" s="28"/>
      <c r="L52" s="28"/>
    </row>
    <row r="53" spans="1:12" x14ac:dyDescent="0.25">
      <c r="A53" s="1"/>
      <c r="B53" s="1"/>
      <c r="C53" s="1"/>
      <c r="D53" s="1"/>
      <c r="E53" s="1"/>
      <c r="F53" s="1"/>
      <c r="G53" s="28"/>
      <c r="H53" s="28"/>
      <c r="I53" s="28"/>
      <c r="J53" s="28"/>
      <c r="K53" s="28"/>
      <c r="L53" s="28"/>
    </row>
    <row r="54" spans="1:12" x14ac:dyDescent="0.25">
      <c r="A54" s="1"/>
      <c r="B54" s="1"/>
      <c r="C54" s="1"/>
      <c r="D54" s="1"/>
      <c r="E54" s="1"/>
      <c r="F54" s="1"/>
      <c r="G54" s="28"/>
      <c r="H54" s="28"/>
      <c r="I54" s="28"/>
      <c r="J54" s="28"/>
      <c r="K54" s="28"/>
      <c r="L54" s="28"/>
    </row>
    <row r="55" spans="1:12" x14ac:dyDescent="0.25">
      <c r="A55" s="1"/>
      <c r="B55" s="1"/>
      <c r="C55" s="1"/>
      <c r="D55" s="1"/>
      <c r="E55" s="1"/>
      <c r="F55" s="1"/>
      <c r="G55" s="28"/>
      <c r="H55" s="28"/>
      <c r="I55" s="28"/>
      <c r="J55" s="28"/>
      <c r="K55" s="28"/>
      <c r="L55" s="28"/>
    </row>
    <row r="56" spans="1:12" x14ac:dyDescent="0.25">
      <c r="A56" s="1"/>
      <c r="B56" s="1"/>
      <c r="C56" s="1"/>
      <c r="D56" s="1"/>
      <c r="E56" s="1"/>
      <c r="F56" s="1"/>
      <c r="G56" s="28"/>
      <c r="H56" s="28"/>
      <c r="I56" s="28"/>
      <c r="J56" s="28"/>
      <c r="K56" s="28"/>
      <c r="L56" s="28"/>
    </row>
    <row r="57" spans="1:12" x14ac:dyDescent="0.25">
      <c r="A57" s="1"/>
      <c r="B57" s="1"/>
      <c r="C57" s="1"/>
      <c r="D57" s="1"/>
      <c r="E57" s="1"/>
      <c r="F57" s="1"/>
      <c r="G57" s="28"/>
      <c r="H57" s="28"/>
      <c r="I57" s="28"/>
      <c r="J57" s="28"/>
      <c r="K57" s="28"/>
      <c r="L57" s="28"/>
    </row>
    <row r="58" spans="1:12" x14ac:dyDescent="0.25">
      <c r="A58" s="1"/>
      <c r="B58" s="1"/>
      <c r="C58" s="1"/>
      <c r="D58" s="1"/>
      <c r="E58" s="1"/>
      <c r="F58" s="1"/>
      <c r="G58" s="28"/>
      <c r="H58" s="28"/>
      <c r="I58" s="28"/>
      <c r="J58" s="28"/>
      <c r="K58" s="28"/>
      <c r="L58" s="28"/>
    </row>
    <row r="59" spans="1:12" x14ac:dyDescent="0.25">
      <c r="A59" s="1"/>
      <c r="B59" s="1"/>
      <c r="C59" s="1"/>
      <c r="D59" s="1"/>
      <c r="E59" s="1"/>
      <c r="F59" s="1"/>
      <c r="G59" s="28"/>
      <c r="H59" s="28"/>
      <c r="I59" s="28"/>
      <c r="J59" s="28"/>
      <c r="K59" s="28"/>
      <c r="L59" s="28"/>
    </row>
    <row r="60" spans="1:12" x14ac:dyDescent="0.25">
      <c r="A60" s="1"/>
      <c r="B60" s="1"/>
      <c r="C60" s="1"/>
      <c r="D60" s="1"/>
      <c r="E60" s="1"/>
      <c r="F60" s="1"/>
      <c r="G60" s="28"/>
      <c r="H60" s="28"/>
      <c r="I60" s="28"/>
      <c r="J60" s="28"/>
      <c r="K60" s="28"/>
      <c r="L60" s="28"/>
    </row>
    <row r="61" spans="1:12" x14ac:dyDescent="0.25">
      <c r="A61" s="1"/>
      <c r="B61" s="1"/>
      <c r="C61" s="1"/>
      <c r="D61" s="1"/>
      <c r="E61" s="1"/>
      <c r="F61" s="1"/>
      <c r="G61" s="28"/>
      <c r="H61" s="28"/>
      <c r="I61" s="28"/>
      <c r="J61" s="28"/>
      <c r="K61" s="28"/>
      <c r="L61" s="28"/>
    </row>
    <row r="62" spans="1:12" x14ac:dyDescent="0.25">
      <c r="A62" s="1"/>
      <c r="B62" s="1"/>
      <c r="C62" s="1"/>
      <c r="D62" s="1"/>
      <c r="E62" s="1"/>
      <c r="F62" s="1"/>
      <c r="G62" s="28"/>
      <c r="H62" s="28"/>
      <c r="I62" s="28"/>
      <c r="J62" s="28"/>
      <c r="K62" s="28"/>
      <c r="L62" s="28"/>
    </row>
    <row r="63" spans="1:12" x14ac:dyDescent="0.25">
      <c r="A63" s="1"/>
      <c r="B63" s="1"/>
      <c r="C63" s="1"/>
      <c r="D63" s="1"/>
      <c r="E63" s="1"/>
      <c r="F63" s="1"/>
      <c r="G63" s="28"/>
      <c r="H63" s="28"/>
      <c r="I63" s="28"/>
      <c r="J63" s="28"/>
      <c r="K63" s="28"/>
      <c r="L63" s="28"/>
    </row>
    <row r="64" spans="1:12" x14ac:dyDescent="0.25">
      <c r="A64" s="1"/>
      <c r="B64" s="1"/>
      <c r="C64" s="1"/>
      <c r="D64" s="1"/>
      <c r="E64" s="1"/>
      <c r="F64" s="1"/>
      <c r="G64" s="28"/>
      <c r="H64" s="28"/>
      <c r="I64" s="28"/>
      <c r="J64" s="28"/>
      <c r="K64" s="28"/>
      <c r="L64" s="28"/>
    </row>
    <row r="65" spans="1:12" x14ac:dyDescent="0.25">
      <c r="A65" s="1"/>
      <c r="B65" s="1"/>
      <c r="C65" s="1"/>
      <c r="D65" s="1"/>
      <c r="E65" s="1"/>
      <c r="F65" s="1"/>
      <c r="G65" s="28"/>
      <c r="H65" s="28"/>
      <c r="I65" s="28"/>
      <c r="J65" s="28"/>
      <c r="K65" s="28"/>
      <c r="L65" s="28"/>
    </row>
    <row r="66" spans="1:12" x14ac:dyDescent="0.25">
      <c r="A66" s="1"/>
      <c r="B66" s="1"/>
      <c r="C66" s="1"/>
      <c r="D66" s="1"/>
      <c r="E66" s="1"/>
      <c r="F66" s="1"/>
      <c r="G66" s="28"/>
      <c r="H66" s="28"/>
      <c r="I66" s="28"/>
      <c r="J66" s="28"/>
      <c r="K66" s="28"/>
      <c r="L66" s="28"/>
    </row>
    <row r="67" spans="1:12" x14ac:dyDescent="0.25">
      <c r="A67" s="1"/>
      <c r="B67" s="1"/>
      <c r="C67" s="1"/>
      <c r="D67" s="1"/>
      <c r="E67" s="1"/>
      <c r="F67" s="1"/>
      <c r="G67" s="28"/>
      <c r="H67" s="28"/>
      <c r="I67" s="28"/>
      <c r="J67" s="28"/>
      <c r="K67" s="28"/>
      <c r="L67" s="28"/>
    </row>
    <row r="68" spans="1:12" x14ac:dyDescent="0.25">
      <c r="A68" s="1"/>
      <c r="B68" s="1"/>
      <c r="C68" s="1"/>
      <c r="D68" s="1"/>
      <c r="E68" s="1"/>
      <c r="F68" s="1"/>
      <c r="G68" s="28"/>
      <c r="H68" s="28"/>
      <c r="I68" s="28"/>
      <c r="J68" s="28"/>
      <c r="K68" s="28"/>
      <c r="L68" s="28"/>
    </row>
    <row r="69" spans="1:12" x14ac:dyDescent="0.25">
      <c r="A69" s="1"/>
      <c r="B69" s="1"/>
      <c r="C69" s="1"/>
      <c r="D69" s="1"/>
      <c r="E69" s="1"/>
      <c r="F69" s="1"/>
      <c r="G69" s="28"/>
      <c r="H69" s="28"/>
      <c r="I69" s="28"/>
      <c r="J69" s="28"/>
      <c r="K69" s="28"/>
      <c r="L69" s="28"/>
    </row>
    <row r="70" spans="1:12" x14ac:dyDescent="0.25">
      <c r="A70" s="1"/>
      <c r="B70" s="1"/>
      <c r="C70" s="1"/>
      <c r="D70" s="1"/>
      <c r="E70" s="1"/>
      <c r="F70" s="1"/>
      <c r="G70" s="28"/>
      <c r="H70" s="28"/>
      <c r="I70" s="28"/>
      <c r="J70" s="28"/>
      <c r="K70" s="28"/>
      <c r="L70" s="28"/>
    </row>
    <row r="71" spans="1:12" x14ac:dyDescent="0.25">
      <c r="A71" s="1"/>
      <c r="B71" s="1"/>
      <c r="C71" s="1"/>
      <c r="D71" s="1"/>
      <c r="E71" s="1"/>
      <c r="F71" s="1"/>
      <c r="G71" s="28"/>
      <c r="H71" s="28"/>
      <c r="I71" s="28"/>
      <c r="J71" s="28"/>
      <c r="K71" s="28"/>
      <c r="L71" s="28"/>
    </row>
    <row r="72" spans="1:12" x14ac:dyDescent="0.25">
      <c r="A72" s="1"/>
      <c r="B72" s="1"/>
      <c r="C72" s="1"/>
      <c r="D72" s="1"/>
      <c r="E72" s="1"/>
      <c r="F72" s="1"/>
      <c r="G72" s="28"/>
      <c r="H72" s="28"/>
      <c r="I72" s="28"/>
      <c r="J72" s="28"/>
      <c r="K72" s="28"/>
      <c r="L72" s="28"/>
    </row>
    <row r="73" spans="1:12" x14ac:dyDescent="0.25">
      <c r="A73" s="1"/>
      <c r="B73" s="1"/>
      <c r="C73" s="1"/>
      <c r="D73" s="1"/>
      <c r="E73" s="1"/>
      <c r="F73" s="1"/>
      <c r="G73" s="28"/>
      <c r="H73" s="28"/>
      <c r="I73" s="28"/>
      <c r="J73" s="28"/>
      <c r="K73" s="28"/>
      <c r="L73" s="28"/>
    </row>
    <row r="74" spans="1:12" x14ac:dyDescent="0.25">
      <c r="A74" s="1"/>
      <c r="B74" s="1"/>
      <c r="C74" s="1"/>
      <c r="D74" s="1"/>
      <c r="E74" s="1"/>
      <c r="F74" s="1"/>
      <c r="G74" s="28"/>
      <c r="H74" s="28"/>
      <c r="I74" s="28"/>
      <c r="J74" s="28"/>
      <c r="K74" s="28"/>
      <c r="L74" s="28"/>
    </row>
    <row r="75" spans="1:12" x14ac:dyDescent="0.25">
      <c r="A75" s="1"/>
      <c r="B75" s="1"/>
      <c r="C75" s="1"/>
      <c r="D75" s="1"/>
      <c r="E75" s="1"/>
      <c r="F75" s="1"/>
      <c r="G75" s="28"/>
      <c r="H75" s="28"/>
      <c r="I75" s="28"/>
      <c r="J75" s="28"/>
      <c r="K75" s="28"/>
      <c r="L75" s="28"/>
    </row>
    <row r="76" spans="1:12" x14ac:dyDescent="0.25">
      <c r="A76" s="1"/>
      <c r="B76" s="1"/>
      <c r="C76" s="1"/>
      <c r="D76" s="1"/>
      <c r="E76" s="1"/>
      <c r="F76" s="1"/>
      <c r="G76" s="28"/>
      <c r="H76" s="28"/>
      <c r="I76" s="28"/>
      <c r="J76" s="28"/>
      <c r="K76" s="28"/>
      <c r="L76" s="28"/>
    </row>
    <row r="77" spans="1:12" x14ac:dyDescent="0.25">
      <c r="A77" s="1"/>
      <c r="B77" s="1"/>
      <c r="C77" s="1"/>
      <c r="D77" s="1"/>
      <c r="E77" s="1"/>
      <c r="F77" s="1"/>
      <c r="G77" s="28"/>
      <c r="H77" s="28"/>
      <c r="I77" s="28"/>
      <c r="J77" s="28"/>
      <c r="K77" s="28"/>
      <c r="L77" s="28"/>
    </row>
    <row r="78" spans="1:12" x14ac:dyDescent="0.25">
      <c r="A78" s="1"/>
      <c r="B78" s="1"/>
      <c r="C78" s="1"/>
      <c r="D78" s="1"/>
      <c r="E78" s="1"/>
      <c r="F78" s="1"/>
      <c r="G78" s="28"/>
      <c r="H78" s="28"/>
      <c r="I78" s="28"/>
      <c r="J78" s="28"/>
      <c r="K78" s="28"/>
      <c r="L78" s="28"/>
    </row>
    <row r="79" spans="1:12" x14ac:dyDescent="0.25">
      <c r="A79" s="1"/>
      <c r="B79" s="1"/>
      <c r="C79" s="1"/>
      <c r="D79" s="1"/>
      <c r="E79" s="1"/>
      <c r="F79" s="1"/>
      <c r="G79" s="28"/>
      <c r="H79" s="28"/>
      <c r="I79" s="28"/>
      <c r="J79" s="28"/>
      <c r="K79" s="28"/>
      <c r="L79" s="28"/>
    </row>
    <row r="80" spans="1:12" x14ac:dyDescent="0.25">
      <c r="A80" s="1"/>
      <c r="B80" s="1"/>
      <c r="C80" s="1"/>
      <c r="D80" s="1"/>
      <c r="E80" s="1"/>
      <c r="F80" s="1"/>
      <c r="G80" s="28"/>
      <c r="H80" s="28"/>
      <c r="I80" s="28"/>
      <c r="J80" s="28"/>
      <c r="K80" s="28"/>
      <c r="L80" s="28"/>
    </row>
    <row r="81" spans="1:12" x14ac:dyDescent="0.25">
      <c r="A81" s="1"/>
      <c r="B81" s="1"/>
      <c r="C81" s="1"/>
      <c r="D81" s="1"/>
      <c r="E81" s="1"/>
      <c r="F81" s="1"/>
      <c r="G81" s="28"/>
      <c r="H81" s="28"/>
      <c r="I81" s="28"/>
      <c r="J81" s="28"/>
      <c r="K81" s="28"/>
      <c r="L81" s="28"/>
    </row>
    <row r="82" spans="1:12" x14ac:dyDescent="0.25">
      <c r="A82" s="1"/>
      <c r="B82" s="1"/>
      <c r="C82" s="1"/>
      <c r="D82" s="1"/>
      <c r="E82" s="1"/>
      <c r="F82" s="1"/>
      <c r="G82" s="28"/>
      <c r="H82" s="28"/>
      <c r="I82" s="28"/>
      <c r="J82" s="28"/>
      <c r="K82" s="28"/>
      <c r="L82" s="28"/>
    </row>
    <row r="83" spans="1:12" x14ac:dyDescent="0.25">
      <c r="A83" s="1"/>
      <c r="B83" s="1"/>
      <c r="C83" s="1"/>
      <c r="D83" s="1"/>
      <c r="E83" s="1"/>
      <c r="F83" s="1"/>
      <c r="G83" s="28"/>
      <c r="H83" s="28"/>
      <c r="I83" s="28"/>
      <c r="J83" s="28"/>
      <c r="K83" s="28"/>
      <c r="L83" s="28"/>
    </row>
    <row r="84" spans="1:12" x14ac:dyDescent="0.25">
      <c r="A84" s="1"/>
      <c r="B84" s="1"/>
      <c r="C84" s="1"/>
      <c r="D84" s="1"/>
      <c r="E84" s="1"/>
      <c r="F84" s="1"/>
      <c r="G84" s="28"/>
      <c r="H84" s="28"/>
      <c r="I84" s="28"/>
      <c r="J84" s="28"/>
      <c r="K84" s="28"/>
      <c r="L84" s="28"/>
    </row>
    <row r="85" spans="1:12" x14ac:dyDescent="0.25">
      <c r="A85" s="1"/>
      <c r="B85" s="1"/>
      <c r="C85" s="1"/>
      <c r="D85" s="1"/>
      <c r="E85" s="1"/>
      <c r="F85" s="1"/>
      <c r="G85" s="28"/>
      <c r="H85" s="28"/>
      <c r="I85" s="28"/>
      <c r="J85" s="28"/>
      <c r="K85" s="28"/>
      <c r="L85" s="28"/>
    </row>
    <row r="86" spans="1:12" x14ac:dyDescent="0.25">
      <c r="A86" s="1"/>
      <c r="B86" s="1"/>
      <c r="C86" s="1"/>
      <c r="D86" s="1"/>
      <c r="E86" s="1"/>
      <c r="F86" s="1"/>
      <c r="G86" s="28"/>
      <c r="H86" s="28"/>
      <c r="I86" s="28"/>
      <c r="J86" s="28"/>
      <c r="K86" s="28"/>
      <c r="L86" s="28"/>
    </row>
    <row r="87" spans="1:12" x14ac:dyDescent="0.25">
      <c r="A87" s="1"/>
      <c r="B87" s="1"/>
      <c r="C87" s="1"/>
      <c r="D87" s="1"/>
      <c r="E87" s="1"/>
      <c r="F87" s="1"/>
      <c r="G87" s="28"/>
      <c r="H87" s="28"/>
      <c r="I87" s="28"/>
      <c r="J87" s="28"/>
      <c r="K87" s="28"/>
      <c r="L87" s="28"/>
    </row>
    <row r="88" spans="1:12" x14ac:dyDescent="0.25">
      <c r="A88" s="1"/>
      <c r="B88" s="1"/>
      <c r="C88" s="1"/>
      <c r="D88" s="1"/>
      <c r="E88" s="1"/>
      <c r="F88" s="1"/>
      <c r="G88" s="28"/>
      <c r="H88" s="28"/>
      <c r="I88" s="28"/>
      <c r="J88" s="28"/>
      <c r="K88" s="28"/>
      <c r="L88" s="28"/>
    </row>
    <row r="89" spans="1:12" x14ac:dyDescent="0.25">
      <c r="A89" s="1"/>
      <c r="B89" s="1"/>
      <c r="C89" s="1"/>
      <c r="D89" s="1"/>
      <c r="E89" s="1"/>
      <c r="F89" s="1"/>
      <c r="G89" s="28"/>
      <c r="H89" s="28"/>
      <c r="I89" s="28"/>
      <c r="J89" s="28"/>
      <c r="K89" s="28"/>
      <c r="L89" s="28"/>
    </row>
    <row r="90" spans="1:12" x14ac:dyDescent="0.25">
      <c r="A90" s="1"/>
      <c r="B90" s="1"/>
      <c r="C90" s="1"/>
      <c r="D90" s="1"/>
      <c r="E90" s="1"/>
      <c r="F90" s="1"/>
      <c r="G90" s="28"/>
      <c r="H90" s="28"/>
      <c r="I90" s="28"/>
      <c r="J90" s="28"/>
      <c r="K90" s="28"/>
      <c r="L90" s="28"/>
    </row>
    <row r="91" spans="1:12" x14ac:dyDescent="0.25">
      <c r="A91" s="1"/>
      <c r="B91" s="1"/>
      <c r="C91" s="1"/>
      <c r="D91" s="1"/>
      <c r="E91" s="1"/>
      <c r="F91" s="1"/>
      <c r="G91" s="28"/>
      <c r="H91" s="28"/>
      <c r="I91" s="28"/>
      <c r="J91" s="28"/>
      <c r="K91" s="28"/>
      <c r="L91" s="28"/>
    </row>
    <row r="92" spans="1:12" x14ac:dyDescent="0.25">
      <c r="A92" s="1"/>
      <c r="B92" s="1"/>
      <c r="C92" s="1"/>
      <c r="D92" s="1"/>
      <c r="E92" s="1"/>
      <c r="F92" s="1"/>
      <c r="G92" s="28"/>
      <c r="H92" s="28"/>
      <c r="I92" s="28"/>
      <c r="J92" s="28"/>
      <c r="K92" s="28"/>
      <c r="L92" s="28"/>
    </row>
    <row r="93" spans="1:12" x14ac:dyDescent="0.25">
      <c r="A93" s="1"/>
      <c r="B93" s="1"/>
      <c r="C93" s="1"/>
      <c r="D93" s="1"/>
      <c r="E93" s="1"/>
      <c r="F93" s="1"/>
      <c r="G93" s="28"/>
      <c r="H93" s="28"/>
      <c r="I93" s="28"/>
      <c r="J93" s="28"/>
      <c r="K93" s="28"/>
      <c r="L93" s="28"/>
    </row>
    <row r="94" spans="1:12" x14ac:dyDescent="0.25">
      <c r="A94" s="1"/>
      <c r="B94" s="1"/>
      <c r="C94" s="1"/>
      <c r="D94" s="1"/>
      <c r="E94" s="1"/>
      <c r="F94" s="1"/>
      <c r="G94" s="28"/>
      <c r="H94" s="28"/>
      <c r="I94" s="28"/>
      <c r="J94" s="28"/>
      <c r="K94" s="28"/>
      <c r="L94" s="28"/>
    </row>
    <row r="95" spans="1:12" x14ac:dyDescent="0.25">
      <c r="A95" s="1"/>
      <c r="B95" s="1"/>
      <c r="C95" s="1"/>
      <c r="D95" s="1"/>
      <c r="E95" s="1"/>
      <c r="F95" s="1"/>
      <c r="G95" s="28"/>
      <c r="H95" s="28"/>
      <c r="I95" s="28"/>
      <c r="J95" s="28"/>
      <c r="K95" s="28"/>
      <c r="L95" s="28"/>
    </row>
    <row r="96" spans="1:12" x14ac:dyDescent="0.25">
      <c r="A96" s="1"/>
      <c r="B96" s="1"/>
      <c r="C96" s="1"/>
      <c r="D96" s="1"/>
      <c r="E96" s="1"/>
      <c r="F96" s="1"/>
      <c r="G96" s="28"/>
      <c r="H96" s="28"/>
      <c r="I96" s="28"/>
      <c r="J96" s="28"/>
      <c r="K96" s="28"/>
      <c r="L96" s="28"/>
    </row>
    <row r="97" spans="1:12" x14ac:dyDescent="0.25">
      <c r="A97" s="1"/>
      <c r="B97" s="1"/>
      <c r="C97" s="1"/>
      <c r="D97" s="1"/>
      <c r="E97" s="1"/>
      <c r="F97" s="1"/>
      <c r="G97" s="28"/>
      <c r="H97" s="28"/>
      <c r="I97" s="28"/>
      <c r="J97" s="28"/>
      <c r="K97" s="28"/>
      <c r="L97" s="28"/>
    </row>
    <row r="98" spans="1:12" x14ac:dyDescent="0.25">
      <c r="A98" s="1"/>
      <c r="B98" s="1"/>
      <c r="C98" s="1"/>
      <c r="D98" s="1"/>
      <c r="E98" s="1"/>
      <c r="F98" s="1"/>
      <c r="G98" s="28"/>
      <c r="H98" s="28"/>
      <c r="I98" s="28"/>
      <c r="J98" s="28"/>
      <c r="K98" s="28"/>
      <c r="L98" s="28"/>
    </row>
    <row r="99" spans="1:12" x14ac:dyDescent="0.25">
      <c r="A99" s="1"/>
      <c r="B99" s="1"/>
      <c r="C99" s="1"/>
      <c r="D99" s="1"/>
      <c r="E99" s="1"/>
      <c r="F99" s="1"/>
      <c r="G99" s="28"/>
      <c r="H99" s="28"/>
      <c r="I99" s="28"/>
      <c r="J99" s="28"/>
      <c r="K99" s="28"/>
      <c r="L99" s="28"/>
    </row>
    <row r="100" spans="1:12" x14ac:dyDescent="0.25">
      <c r="A100" s="1"/>
      <c r="B100" s="1"/>
      <c r="C100" s="1"/>
      <c r="D100" s="1"/>
      <c r="E100" s="1"/>
      <c r="F100" s="1"/>
      <c r="G100" s="28"/>
      <c r="H100" s="28"/>
      <c r="I100" s="28"/>
      <c r="J100" s="28"/>
      <c r="K100" s="28"/>
      <c r="L100" s="28"/>
    </row>
    <row r="101" spans="1:12" x14ac:dyDescent="0.25">
      <c r="A101" s="1"/>
      <c r="B101" s="1"/>
      <c r="C101" s="1"/>
      <c r="D101" s="1"/>
      <c r="E101" s="1"/>
      <c r="F101" s="1"/>
      <c r="G101" s="28"/>
      <c r="H101" s="28"/>
      <c r="I101" s="28"/>
      <c r="J101" s="28"/>
      <c r="K101" s="28"/>
      <c r="L101" s="28"/>
    </row>
    <row r="102" spans="1:12" x14ac:dyDescent="0.25">
      <c r="A102" s="1"/>
      <c r="B102" s="1"/>
      <c r="C102" s="1"/>
      <c r="D102" s="1"/>
      <c r="E102" s="1"/>
      <c r="F102" s="1"/>
      <c r="G102" s="28"/>
      <c r="H102" s="28"/>
      <c r="I102" s="28"/>
      <c r="J102" s="28"/>
      <c r="K102" s="28"/>
      <c r="L102" s="28"/>
    </row>
    <row r="103" spans="1:12" x14ac:dyDescent="0.25">
      <c r="A103" s="1"/>
      <c r="B103" s="1"/>
      <c r="C103" s="1"/>
      <c r="D103" s="1"/>
      <c r="E103" s="1"/>
      <c r="F103" s="1"/>
      <c r="G103" s="28"/>
      <c r="H103" s="28"/>
      <c r="I103" s="28"/>
      <c r="J103" s="28"/>
      <c r="K103" s="28"/>
      <c r="L103" s="28"/>
    </row>
    <row r="104" spans="1:12" x14ac:dyDescent="0.25">
      <c r="A104" s="1"/>
      <c r="B104" s="1"/>
      <c r="C104" s="1"/>
      <c r="D104" s="1"/>
      <c r="E104" s="1"/>
      <c r="F104" s="1"/>
      <c r="G104" s="28"/>
      <c r="H104" s="28"/>
      <c r="I104" s="28"/>
      <c r="J104" s="28"/>
      <c r="K104" s="28"/>
      <c r="L104" s="28"/>
    </row>
    <row r="105" spans="1:12" x14ac:dyDescent="0.25">
      <c r="A105" s="1"/>
      <c r="B105" s="1"/>
      <c r="C105" s="1"/>
      <c r="D105" s="1"/>
      <c r="E105" s="1"/>
      <c r="F105" s="1"/>
      <c r="G105" s="28"/>
      <c r="H105" s="28"/>
      <c r="I105" s="28"/>
      <c r="J105" s="28"/>
      <c r="K105" s="28"/>
      <c r="L105" s="28"/>
    </row>
    <row r="106" spans="1:12" x14ac:dyDescent="0.25">
      <c r="A106" s="1"/>
      <c r="B106" s="1"/>
      <c r="C106" s="1"/>
      <c r="D106" s="1"/>
      <c r="E106" s="1"/>
      <c r="F106" s="1"/>
      <c r="G106" s="28"/>
      <c r="H106" s="28"/>
      <c r="I106" s="28"/>
      <c r="J106" s="28"/>
      <c r="K106" s="28"/>
      <c r="L106" s="28"/>
    </row>
    <row r="107" spans="1:12" x14ac:dyDescent="0.25">
      <c r="A107" s="1"/>
      <c r="B107" s="1"/>
      <c r="C107" s="1"/>
      <c r="D107" s="1"/>
      <c r="E107" s="1"/>
      <c r="F107" s="1"/>
      <c r="G107" s="28"/>
      <c r="H107" s="28"/>
      <c r="I107" s="28"/>
      <c r="J107" s="28"/>
      <c r="K107" s="28"/>
      <c r="L107" s="28"/>
    </row>
    <row r="108" spans="1:12" x14ac:dyDescent="0.25">
      <c r="A108" s="1"/>
      <c r="B108" s="1"/>
      <c r="C108" s="1"/>
      <c r="D108" s="1"/>
      <c r="E108" s="1"/>
      <c r="F108" s="1"/>
      <c r="G108" s="28"/>
      <c r="H108" s="28"/>
      <c r="I108" s="28"/>
      <c r="J108" s="28"/>
      <c r="K108" s="28"/>
      <c r="L108" s="28"/>
    </row>
    <row r="109" spans="1:12" x14ac:dyDescent="0.25">
      <c r="A109" s="1"/>
      <c r="B109" s="1"/>
      <c r="C109" s="1"/>
      <c r="D109" s="1"/>
      <c r="E109" s="1"/>
      <c r="F109" s="1"/>
      <c r="G109" s="28"/>
      <c r="H109" s="28"/>
      <c r="I109" s="28"/>
      <c r="J109" s="28"/>
      <c r="K109" s="28"/>
      <c r="L109" s="28"/>
    </row>
    <row r="110" spans="1:12" x14ac:dyDescent="0.25">
      <c r="A110" s="1"/>
      <c r="B110" s="1"/>
      <c r="C110" s="1"/>
      <c r="D110" s="1"/>
      <c r="E110" s="1"/>
      <c r="F110" s="1"/>
      <c r="G110" s="28"/>
      <c r="H110" s="28"/>
      <c r="I110" s="28"/>
      <c r="J110" s="28"/>
      <c r="K110" s="28"/>
      <c r="L110" s="28"/>
    </row>
    <row r="111" spans="1:12" x14ac:dyDescent="0.25">
      <c r="A111" s="1"/>
      <c r="B111" s="1"/>
      <c r="C111" s="1"/>
      <c r="D111" s="1"/>
      <c r="E111" s="1"/>
      <c r="F111" s="1"/>
      <c r="G111" s="28"/>
      <c r="H111" s="28"/>
      <c r="I111" s="28"/>
      <c r="J111" s="28"/>
      <c r="K111" s="28"/>
      <c r="L111" s="28"/>
    </row>
    <row r="112" spans="1:12" x14ac:dyDescent="0.25">
      <c r="A112" s="1"/>
      <c r="B112" s="1"/>
      <c r="C112" s="1"/>
      <c r="D112" s="1"/>
      <c r="E112" s="1"/>
      <c r="F112" s="1"/>
      <c r="G112" s="28"/>
      <c r="H112" s="28"/>
      <c r="I112" s="28"/>
      <c r="J112" s="28"/>
      <c r="K112" s="28"/>
      <c r="L112" s="28"/>
    </row>
    <row r="113" spans="1:12" x14ac:dyDescent="0.25">
      <c r="A113" s="1"/>
      <c r="B113" s="1"/>
      <c r="C113" s="1"/>
      <c r="D113" s="1"/>
      <c r="E113" s="1"/>
      <c r="F113" s="1"/>
      <c r="G113" s="28"/>
      <c r="H113" s="28"/>
      <c r="I113" s="28"/>
      <c r="J113" s="28"/>
      <c r="K113" s="28"/>
      <c r="L113" s="28"/>
    </row>
    <row r="114" spans="1:12" x14ac:dyDescent="0.25">
      <c r="A114" s="1"/>
      <c r="B114" s="1"/>
      <c r="C114" s="1"/>
      <c r="D114" s="1"/>
      <c r="E114" s="1"/>
      <c r="F114" s="1"/>
      <c r="G114" s="28"/>
      <c r="H114" s="28"/>
      <c r="I114" s="28"/>
      <c r="J114" s="28"/>
      <c r="K114" s="28"/>
      <c r="L114" s="28"/>
    </row>
    <row r="115" spans="1:12" x14ac:dyDescent="0.25">
      <c r="A115" s="1"/>
      <c r="B115" s="1"/>
      <c r="C115" s="1"/>
      <c r="D115" s="1"/>
      <c r="E115" s="1"/>
      <c r="F115" s="1"/>
      <c r="G115" s="28"/>
      <c r="H115" s="28"/>
      <c r="I115" s="28"/>
      <c r="J115" s="28"/>
      <c r="K115" s="28"/>
      <c r="L115" s="28"/>
    </row>
    <row r="116" spans="1:12" x14ac:dyDescent="0.25">
      <c r="A116" s="1"/>
      <c r="B116" s="1"/>
      <c r="C116" s="1"/>
      <c r="D116" s="1"/>
      <c r="E116" s="1"/>
      <c r="F116" s="1"/>
      <c r="G116" s="28"/>
      <c r="H116" s="28"/>
      <c r="I116" s="28"/>
      <c r="J116" s="28"/>
      <c r="K116" s="28"/>
      <c r="L116" s="28"/>
    </row>
    <row r="117" spans="1:12" x14ac:dyDescent="0.25">
      <c r="A117" s="1"/>
      <c r="B117" s="1"/>
      <c r="C117" s="1"/>
      <c r="D117" s="1"/>
      <c r="E117" s="1"/>
      <c r="F117" s="1"/>
      <c r="G117" s="28"/>
      <c r="H117" s="28"/>
      <c r="I117" s="28"/>
      <c r="J117" s="28"/>
      <c r="K117" s="28"/>
      <c r="L117" s="28"/>
    </row>
    <row r="118" spans="1:12" x14ac:dyDescent="0.25">
      <c r="A118" s="1"/>
      <c r="B118" s="1"/>
      <c r="C118" s="1"/>
      <c r="D118" s="1"/>
      <c r="E118" s="1"/>
      <c r="F118" s="1"/>
      <c r="G118" s="28"/>
      <c r="H118" s="28"/>
      <c r="I118" s="28"/>
      <c r="J118" s="28"/>
      <c r="K118" s="28"/>
      <c r="L118" s="28"/>
    </row>
  </sheetData>
  <mergeCells count="1">
    <mergeCell ref="E21:E22"/>
  </mergeCells>
  <pageMargins left="0.7" right="0.7" top="0.75" bottom="0.75" header="0.3" footer="0.3"/>
  <pageSetup paperSize="9" orientation="portrait" r:id="rId1"/>
  <ignoredErrors>
    <ignoredError sqref="D21"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6"/>
  <dimension ref="A1:O231"/>
  <sheetViews>
    <sheetView zoomScale="70" zoomScaleNormal="70" workbookViewId="0">
      <pane xSplit="1" topLeftCell="B1" activePane="topRight" state="frozen"/>
      <selection activeCell="B66" sqref="B66"/>
      <selection pane="topRight" activeCell="A25" sqref="A25"/>
    </sheetView>
  </sheetViews>
  <sheetFormatPr defaultRowHeight="14.3" x14ac:dyDescent="0.25"/>
  <cols>
    <col min="1" max="1" width="66.5" customWidth="1"/>
    <col min="2" max="2" width="137.375" bestFit="1" customWidth="1"/>
    <col min="3" max="3" width="26.5" customWidth="1"/>
    <col min="4" max="4" width="20.125" customWidth="1"/>
    <col min="5" max="5" width="13" customWidth="1"/>
    <col min="6" max="6" width="117.375" customWidth="1"/>
    <col min="7" max="7" width="13.5" bestFit="1" customWidth="1"/>
    <col min="8" max="8" width="13" bestFit="1" customWidth="1"/>
  </cols>
  <sheetData>
    <row r="1" spans="1:15" x14ac:dyDescent="0.25">
      <c r="A1" s="1"/>
      <c r="B1" s="1"/>
      <c r="C1" s="1"/>
      <c r="D1" s="1"/>
      <c r="E1" s="1"/>
      <c r="F1" s="1"/>
      <c r="G1" s="34"/>
      <c r="H1" s="34"/>
      <c r="I1" s="34"/>
      <c r="J1" s="34"/>
      <c r="K1" s="34"/>
      <c r="L1" s="34"/>
      <c r="M1" s="34"/>
      <c r="N1" s="34"/>
      <c r="O1" s="34"/>
    </row>
    <row r="2" spans="1:15" x14ac:dyDescent="0.25">
      <c r="A2" s="9"/>
      <c r="B2" s="10"/>
      <c r="C2" s="11"/>
      <c r="D2" s="12" t="s">
        <v>99</v>
      </c>
      <c r="E2" s="9" t="s">
        <v>100</v>
      </c>
      <c r="F2" s="9" t="s">
        <v>101</v>
      </c>
      <c r="G2" s="34"/>
      <c r="H2" s="34"/>
      <c r="I2" s="34"/>
      <c r="J2" s="34"/>
      <c r="K2" s="34"/>
      <c r="L2" s="34"/>
      <c r="M2" s="34"/>
      <c r="N2" s="34"/>
      <c r="O2" s="34"/>
    </row>
    <row r="3" spans="1:15" x14ac:dyDescent="0.25">
      <c r="A3" s="13" t="e">
        <f>#REF!</f>
        <v>#REF!</v>
      </c>
      <c r="B3" s="14" t="e">
        <f>#REF!</f>
        <v>#REF!</v>
      </c>
      <c r="C3" s="14"/>
      <c r="D3" s="39" t="e">
        <f>#REF!*#REF!*100</f>
        <v>#REF!</v>
      </c>
      <c r="E3" s="15" t="e">
        <f>#REF!</f>
        <v>#REF!</v>
      </c>
      <c r="F3" s="16"/>
      <c r="G3" s="34"/>
      <c r="H3" s="34"/>
      <c r="I3" s="34"/>
      <c r="J3" s="34"/>
      <c r="K3" s="34"/>
      <c r="L3" s="34"/>
      <c r="M3" s="34"/>
      <c r="N3" s="34"/>
      <c r="O3" s="34"/>
    </row>
    <row r="4" spans="1:15" x14ac:dyDescent="0.25">
      <c r="A4" s="17" t="s">
        <v>169</v>
      </c>
      <c r="B4" s="17"/>
      <c r="C4" s="17"/>
      <c r="D4" s="17"/>
      <c r="E4" s="17"/>
      <c r="F4" s="17"/>
      <c r="G4" s="34"/>
      <c r="H4" s="80"/>
      <c r="I4" s="34"/>
      <c r="J4" s="34"/>
      <c r="K4" s="34"/>
      <c r="L4" s="34"/>
      <c r="M4" s="34"/>
      <c r="N4" s="34"/>
      <c r="O4" s="34"/>
    </row>
    <row r="5" spans="1:15" x14ac:dyDescent="0.25">
      <c r="A5" s="18"/>
      <c r="B5" s="18"/>
      <c r="C5" s="18"/>
      <c r="D5" s="18"/>
      <c r="E5" s="18"/>
      <c r="F5" s="18"/>
      <c r="G5" s="34"/>
      <c r="H5" s="34"/>
      <c r="I5" s="34"/>
      <c r="J5" s="34"/>
      <c r="K5" s="34"/>
      <c r="L5" s="34"/>
      <c r="M5" s="34"/>
      <c r="N5" s="34"/>
      <c r="O5" s="34"/>
    </row>
    <row r="6" spans="1:15" s="34" customFormat="1" x14ac:dyDescent="0.25">
      <c r="A6" s="52" t="e">
        <f>#REF!</f>
        <v>#REF!</v>
      </c>
      <c r="B6" s="19" t="e">
        <f>B3</f>
        <v>#REF!</v>
      </c>
      <c r="C6" s="37" t="e">
        <f>D3</f>
        <v>#REF!</v>
      </c>
      <c r="D6" s="38">
        <v>1</v>
      </c>
      <c r="E6" s="19" t="s">
        <v>0</v>
      </c>
      <c r="F6" s="36"/>
    </row>
    <row r="7" spans="1:15" x14ac:dyDescent="0.25">
      <c r="A7" s="7"/>
      <c r="B7" s="7"/>
      <c r="C7" s="7"/>
      <c r="D7" s="1"/>
      <c r="E7" s="1"/>
      <c r="F7" s="1"/>
      <c r="G7" s="34"/>
      <c r="H7" s="34"/>
      <c r="I7" s="34"/>
      <c r="J7" s="34"/>
      <c r="K7" s="34"/>
      <c r="L7" s="34"/>
      <c r="M7" s="34"/>
      <c r="N7" s="34"/>
      <c r="O7" s="34"/>
    </row>
    <row r="8" spans="1:15" x14ac:dyDescent="0.25">
      <c r="A8" s="20" t="s">
        <v>1</v>
      </c>
      <c r="B8" s="21" t="s">
        <v>1</v>
      </c>
      <c r="C8" s="21"/>
      <c r="D8" s="22"/>
      <c r="E8" s="22"/>
      <c r="F8" s="22"/>
      <c r="G8" s="34"/>
      <c r="H8" s="34"/>
      <c r="I8" s="34"/>
      <c r="J8" s="34"/>
      <c r="K8" s="34"/>
      <c r="L8" s="34"/>
      <c r="M8" s="34"/>
      <c r="N8" s="34"/>
      <c r="O8" s="34"/>
    </row>
    <row r="9" spans="1:15" x14ac:dyDescent="0.25">
      <c r="A9" s="17" t="s">
        <v>118</v>
      </c>
      <c r="B9" s="23" t="s">
        <v>118</v>
      </c>
      <c r="C9" s="23"/>
      <c r="D9" s="24"/>
      <c r="E9" s="24"/>
      <c r="F9" s="24"/>
      <c r="G9" s="34"/>
      <c r="H9" s="34"/>
      <c r="I9" s="34"/>
      <c r="J9" s="34"/>
      <c r="K9" s="34"/>
      <c r="L9" s="34"/>
      <c r="M9" s="34"/>
      <c r="N9" s="34"/>
      <c r="O9" s="34"/>
    </row>
    <row r="10" spans="1:15" x14ac:dyDescent="0.25">
      <c r="A10" s="7"/>
      <c r="B10" s="7"/>
      <c r="C10" s="7"/>
      <c r="D10" s="1"/>
      <c r="E10" s="1"/>
      <c r="F10" s="1"/>
      <c r="G10" s="34"/>
      <c r="H10" s="34"/>
      <c r="I10" s="34"/>
      <c r="J10" s="34"/>
      <c r="K10" s="34"/>
      <c r="L10" s="34"/>
      <c r="M10" s="34"/>
      <c r="N10" s="34"/>
      <c r="O10" s="34"/>
    </row>
    <row r="11" spans="1:15" x14ac:dyDescent="0.25">
      <c r="A11" s="12" t="s">
        <v>104</v>
      </c>
      <c r="B11" s="12" t="s">
        <v>123</v>
      </c>
      <c r="C11" s="11" t="s">
        <v>124</v>
      </c>
      <c r="D11" s="12" t="s">
        <v>17</v>
      </c>
      <c r="E11" s="12" t="s">
        <v>100</v>
      </c>
      <c r="F11" s="12" t="s">
        <v>146</v>
      </c>
      <c r="G11" s="34"/>
      <c r="H11" s="34"/>
      <c r="I11" s="34"/>
      <c r="J11" s="34"/>
      <c r="K11" s="34"/>
      <c r="L11" s="34"/>
      <c r="M11" s="34"/>
      <c r="N11" s="34"/>
      <c r="O11" s="34"/>
    </row>
    <row r="12" spans="1:15" s="34" customFormat="1" ht="15.65" x14ac:dyDescent="0.25">
      <c r="A12" s="52" t="s">
        <v>148</v>
      </c>
      <c r="B12" s="25" t="s">
        <v>19</v>
      </c>
      <c r="C12" s="26" t="s">
        <v>42</v>
      </c>
      <c r="D12" s="42" t="e">
        <f>#REF!*#REF!*Allocations!F5</f>
        <v>#REF!</v>
      </c>
      <c r="E12" s="27" t="s">
        <v>18</v>
      </c>
      <c r="F12" s="82" t="s">
        <v>6</v>
      </c>
    </row>
    <row r="13" spans="1:15" s="34" customFormat="1" ht="15.65" x14ac:dyDescent="0.25">
      <c r="A13" s="52" t="s">
        <v>102</v>
      </c>
      <c r="B13" s="25" t="s">
        <v>2</v>
      </c>
      <c r="C13" s="26" t="s">
        <v>42</v>
      </c>
      <c r="D13" s="42" t="e">
        <f>#REF!*#REF!*Allocations!F5</f>
        <v>#REF!</v>
      </c>
      <c r="E13" s="27" t="s">
        <v>3</v>
      </c>
      <c r="F13" s="82" t="s">
        <v>6</v>
      </c>
    </row>
    <row r="14" spans="1:15" s="34" customFormat="1" ht="15.65" x14ac:dyDescent="0.25">
      <c r="A14" s="52" t="s">
        <v>103</v>
      </c>
      <c r="B14" s="25" t="s">
        <v>4</v>
      </c>
      <c r="C14" s="26" t="s">
        <v>42</v>
      </c>
      <c r="D14" s="42" t="e">
        <f>#REF!*#REF!*Allocations!F5</f>
        <v>#REF!</v>
      </c>
      <c r="E14" s="27" t="s">
        <v>3</v>
      </c>
      <c r="F14" s="82" t="s">
        <v>6</v>
      </c>
    </row>
    <row r="15" spans="1:15" x14ac:dyDescent="0.25">
      <c r="A15" s="7"/>
      <c r="B15" s="7"/>
      <c r="C15" s="7"/>
      <c r="D15" s="1"/>
      <c r="E15" s="1"/>
      <c r="F15" s="1"/>
      <c r="G15" s="34"/>
      <c r="H15" s="34"/>
      <c r="I15" s="34"/>
      <c r="J15" s="34"/>
      <c r="K15" s="34"/>
      <c r="L15" s="34"/>
      <c r="M15" s="34"/>
      <c r="N15" s="34"/>
      <c r="O15" s="34"/>
    </row>
    <row r="16" spans="1:15" x14ac:dyDescent="0.25">
      <c r="A16" s="17" t="s">
        <v>119</v>
      </c>
      <c r="B16" s="23" t="s">
        <v>119</v>
      </c>
      <c r="C16" s="23"/>
      <c r="D16" s="24"/>
      <c r="E16" s="24"/>
      <c r="F16" s="24"/>
      <c r="G16" s="34"/>
      <c r="H16" s="34"/>
      <c r="I16" s="34"/>
      <c r="J16" s="34"/>
      <c r="K16" s="34"/>
      <c r="L16" s="34"/>
      <c r="M16" s="34"/>
      <c r="N16" s="34"/>
      <c r="O16" s="34"/>
    </row>
    <row r="17" spans="1:15" x14ac:dyDescent="0.25">
      <c r="A17" s="19"/>
      <c r="B17" s="25"/>
      <c r="C17" s="25"/>
      <c r="D17" s="27"/>
      <c r="E17" s="27"/>
      <c r="F17" s="27"/>
      <c r="G17" s="34"/>
      <c r="H17" s="34"/>
      <c r="I17" s="34"/>
      <c r="J17" s="34"/>
      <c r="K17" s="34"/>
      <c r="L17" s="34"/>
      <c r="M17" s="34"/>
      <c r="N17" s="34"/>
      <c r="O17" s="34"/>
    </row>
    <row r="18" spans="1:15" x14ac:dyDescent="0.25">
      <c r="A18" s="12" t="s">
        <v>104</v>
      </c>
      <c r="B18" s="12" t="s">
        <v>123</v>
      </c>
      <c r="C18" s="11" t="s">
        <v>124</v>
      </c>
      <c r="D18" s="12" t="s">
        <v>17</v>
      </c>
      <c r="E18" s="9" t="s">
        <v>100</v>
      </c>
      <c r="F18" s="12" t="s">
        <v>146</v>
      </c>
      <c r="G18" s="34"/>
      <c r="H18" s="34"/>
      <c r="I18" s="34"/>
      <c r="J18" s="34"/>
      <c r="K18" s="34"/>
      <c r="L18" s="34"/>
      <c r="M18" s="34"/>
      <c r="N18" s="34"/>
      <c r="O18" s="34"/>
    </row>
    <row r="19" spans="1:15" x14ac:dyDescent="0.25">
      <c r="A19" s="82" t="s">
        <v>159</v>
      </c>
      <c r="B19" s="25" t="s">
        <v>39</v>
      </c>
      <c r="C19" s="25" t="s">
        <v>97</v>
      </c>
      <c r="D19" s="42" t="e">
        <f>Allocations!F24*#REF!*#REF!</f>
        <v>#REF!</v>
      </c>
      <c r="E19" s="27" t="s">
        <v>5</v>
      </c>
      <c r="F19" s="27" t="s">
        <v>6</v>
      </c>
      <c r="G19" s="34"/>
      <c r="H19" s="34"/>
      <c r="I19" s="34"/>
      <c r="J19" s="34"/>
      <c r="K19" s="34"/>
      <c r="L19" s="34"/>
      <c r="M19" s="34"/>
      <c r="N19" s="34"/>
      <c r="O19" s="34"/>
    </row>
    <row r="20" spans="1:15" x14ac:dyDescent="0.25">
      <c r="A20" s="52" t="s">
        <v>160</v>
      </c>
      <c r="B20" s="25" t="s">
        <v>96</v>
      </c>
      <c r="C20" s="25" t="s">
        <v>98</v>
      </c>
      <c r="D20" s="43" t="e">
        <f>Allocations!F24*#REF!*#REF!</f>
        <v>#REF!</v>
      </c>
      <c r="E20" s="27" t="s">
        <v>5</v>
      </c>
      <c r="F20" s="27" t="s">
        <v>6</v>
      </c>
      <c r="G20" s="34"/>
      <c r="H20" s="34"/>
      <c r="I20" s="34"/>
      <c r="J20" s="34"/>
      <c r="K20" s="34"/>
      <c r="L20" s="34"/>
      <c r="M20" s="34"/>
      <c r="N20" s="34"/>
      <c r="O20" s="34"/>
    </row>
    <row r="21" spans="1:15" x14ac:dyDescent="0.25">
      <c r="A21" s="52" t="s">
        <v>105</v>
      </c>
      <c r="B21" s="25" t="s">
        <v>48</v>
      </c>
      <c r="C21" s="25" t="s">
        <v>43</v>
      </c>
      <c r="D21" s="43" t="e">
        <f>Allocations!F14</f>
        <v>#REF!</v>
      </c>
      <c r="E21" s="27" t="s">
        <v>5</v>
      </c>
      <c r="F21" s="27" t="s">
        <v>6</v>
      </c>
      <c r="G21" s="34"/>
      <c r="H21" s="34"/>
      <c r="I21" s="34"/>
      <c r="J21" s="34"/>
      <c r="K21" s="34"/>
      <c r="L21" s="34"/>
      <c r="M21" s="34"/>
      <c r="N21" s="34"/>
      <c r="O21" s="34"/>
    </row>
    <row r="22" spans="1:15" x14ac:dyDescent="0.25">
      <c r="A22" s="52" t="s">
        <v>106</v>
      </c>
      <c r="B22" s="25" t="s">
        <v>127</v>
      </c>
      <c r="C22" s="25" t="s">
        <v>43</v>
      </c>
      <c r="D22" s="43" t="e">
        <f>#REF!*Allocations!F5</f>
        <v>#REF!</v>
      </c>
      <c r="E22" s="27" t="s">
        <v>5</v>
      </c>
      <c r="F22" s="27" t="s">
        <v>6</v>
      </c>
      <c r="G22" s="34"/>
      <c r="H22" s="34"/>
      <c r="I22" s="34"/>
      <c r="J22" s="34"/>
      <c r="K22" s="34"/>
      <c r="L22" s="34"/>
      <c r="M22" s="34"/>
      <c r="N22" s="34"/>
      <c r="O22" s="34"/>
    </row>
    <row r="23" spans="1:15" ht="14.95" customHeight="1" x14ac:dyDescent="0.25">
      <c r="A23" s="52" t="s">
        <v>132</v>
      </c>
      <c r="B23" s="25" t="s">
        <v>47</v>
      </c>
      <c r="C23" s="25" t="s">
        <v>43</v>
      </c>
      <c r="D23" s="43" t="e">
        <f>(((#REF!/1000)/#REF!)*#REF!)*LCI!$D$3</f>
        <v>#REF!</v>
      </c>
      <c r="E23" s="27" t="s">
        <v>5</v>
      </c>
      <c r="F23" s="84" t="s">
        <v>6</v>
      </c>
      <c r="G23" s="34"/>
      <c r="H23" s="34"/>
      <c r="I23" s="34"/>
      <c r="J23" s="34"/>
      <c r="K23" s="34"/>
      <c r="L23" s="34"/>
      <c r="M23" s="34"/>
      <c r="N23" s="34"/>
      <c r="O23" s="34"/>
    </row>
    <row r="24" spans="1:15" ht="14.95" customHeight="1" x14ac:dyDescent="0.25">
      <c r="A24" s="52" t="s">
        <v>131</v>
      </c>
      <c r="B24" s="25" t="s">
        <v>128</v>
      </c>
      <c r="C24" s="25" t="s">
        <v>43</v>
      </c>
      <c r="D24" s="43" t="e">
        <f>(((#REF!/1000)/#REF!)*#REF!)*LCI!$D$3</f>
        <v>#REF!</v>
      </c>
      <c r="E24" s="27" t="s">
        <v>5</v>
      </c>
      <c r="F24" s="84" t="s">
        <v>6</v>
      </c>
      <c r="G24" s="34"/>
      <c r="H24" s="34"/>
      <c r="I24" s="34"/>
      <c r="J24" s="34"/>
      <c r="K24" s="34"/>
      <c r="L24" s="34"/>
      <c r="M24" s="34"/>
      <c r="N24" s="34"/>
      <c r="O24" s="34"/>
    </row>
    <row r="25" spans="1:15" ht="14.95" customHeight="1" x14ac:dyDescent="0.25">
      <c r="A25" s="52" t="s">
        <v>126</v>
      </c>
      <c r="B25" s="25" t="s">
        <v>129</v>
      </c>
      <c r="C25" s="25" t="s">
        <v>43</v>
      </c>
      <c r="D25" s="43" t="e">
        <f>((((#REF!)/#REF!)*#REF!)/#REF!)*LCI!$D$3</f>
        <v>#REF!</v>
      </c>
      <c r="E25" s="27" t="s">
        <v>5</v>
      </c>
      <c r="F25" s="84" t="s">
        <v>6</v>
      </c>
      <c r="G25" s="34"/>
      <c r="H25" s="34"/>
      <c r="I25" s="34"/>
      <c r="J25" s="34"/>
      <c r="K25" s="34"/>
      <c r="L25" s="34"/>
      <c r="M25" s="34"/>
      <c r="N25" s="34"/>
      <c r="O25" s="34"/>
    </row>
    <row r="26" spans="1:15" s="34" customFormat="1" ht="14.95" customHeight="1" x14ac:dyDescent="0.25">
      <c r="A26" s="44" t="s">
        <v>130</v>
      </c>
      <c r="B26" s="44" t="s">
        <v>57</v>
      </c>
      <c r="C26" s="26" t="s">
        <v>44</v>
      </c>
      <c r="D26" s="45" t="e">
        <f>#REF!*Allocations!F5*1000</f>
        <v>#REF!</v>
      </c>
      <c r="E26" s="26" t="s">
        <v>5</v>
      </c>
      <c r="F26" s="44" t="s">
        <v>6</v>
      </c>
    </row>
    <row r="27" spans="1:15" s="34" customFormat="1" ht="14.95" customHeight="1" x14ac:dyDescent="0.25">
      <c r="A27" s="44" t="s">
        <v>147</v>
      </c>
      <c r="B27" s="44" t="s">
        <v>56</v>
      </c>
      <c r="C27" s="26" t="s">
        <v>44</v>
      </c>
      <c r="D27" s="45" t="e">
        <f>#REF!*Allocations!F5*1000</f>
        <v>#REF!</v>
      </c>
      <c r="E27" s="26" t="s">
        <v>5</v>
      </c>
      <c r="F27" s="44" t="s">
        <v>6</v>
      </c>
    </row>
    <row r="28" spans="1:15" s="34" customFormat="1" ht="14.95" customHeight="1" x14ac:dyDescent="0.25">
      <c r="A28" s="44" t="s">
        <v>161</v>
      </c>
      <c r="B28" s="44" t="s">
        <v>49</v>
      </c>
      <c r="C28" s="26" t="s">
        <v>43</v>
      </c>
      <c r="D28" s="45" t="e">
        <f>(#REF!*Allocations!F5)</f>
        <v>#REF!</v>
      </c>
      <c r="E28" s="26" t="s">
        <v>5</v>
      </c>
      <c r="F28" s="44" t="s">
        <v>6</v>
      </c>
    </row>
    <row r="29" spans="1:15" x14ac:dyDescent="0.25">
      <c r="A29" s="7"/>
      <c r="B29" s="7"/>
      <c r="C29" s="7"/>
      <c r="D29" s="1"/>
      <c r="E29" s="7"/>
      <c r="F29" s="7"/>
      <c r="G29" s="34"/>
      <c r="H29" s="34"/>
      <c r="I29" s="34"/>
      <c r="J29" s="34"/>
      <c r="K29" s="34"/>
      <c r="L29" s="34"/>
      <c r="M29" s="34"/>
      <c r="N29" s="34"/>
      <c r="O29" s="34"/>
    </row>
    <row r="30" spans="1:15" x14ac:dyDescent="0.25">
      <c r="A30" s="17" t="s">
        <v>119</v>
      </c>
      <c r="B30" s="17" t="s">
        <v>119</v>
      </c>
      <c r="C30" s="23"/>
      <c r="D30" s="24"/>
      <c r="E30" s="24"/>
      <c r="F30" s="24"/>
      <c r="G30" s="34"/>
      <c r="H30" s="34"/>
      <c r="I30" s="34"/>
      <c r="J30" s="34"/>
      <c r="K30" s="34"/>
      <c r="L30" s="34"/>
      <c r="M30" s="34"/>
      <c r="N30" s="34"/>
      <c r="O30" s="34"/>
    </row>
    <row r="31" spans="1:15" x14ac:dyDescent="0.25">
      <c r="A31" s="19"/>
      <c r="B31" s="25"/>
      <c r="C31" s="25"/>
      <c r="D31" s="27"/>
      <c r="E31" s="27"/>
      <c r="F31" s="27"/>
      <c r="G31" s="34"/>
      <c r="H31" s="34"/>
      <c r="I31" s="34"/>
      <c r="J31" s="34"/>
      <c r="K31" s="34"/>
      <c r="L31" s="34"/>
      <c r="M31" s="34"/>
      <c r="N31" s="34"/>
      <c r="O31" s="34"/>
    </row>
    <row r="32" spans="1:15" ht="14.95" customHeight="1" x14ac:dyDescent="0.25">
      <c r="A32" s="12" t="s">
        <v>104</v>
      </c>
      <c r="B32" s="12" t="s">
        <v>123</v>
      </c>
      <c r="C32" s="11" t="s">
        <v>124</v>
      </c>
      <c r="D32" s="12" t="s">
        <v>17</v>
      </c>
      <c r="E32" s="12" t="s">
        <v>100</v>
      </c>
      <c r="F32" s="12" t="s">
        <v>146</v>
      </c>
      <c r="G32" s="34"/>
      <c r="H32" s="34"/>
      <c r="I32" s="34"/>
      <c r="J32" s="34"/>
      <c r="K32" s="34"/>
      <c r="L32" s="34"/>
      <c r="M32" s="34"/>
      <c r="N32" s="34"/>
      <c r="O32" s="34"/>
    </row>
    <row r="33" spans="1:15" x14ac:dyDescent="0.25">
      <c r="A33" s="7"/>
      <c r="B33" s="7"/>
      <c r="C33" s="7"/>
      <c r="D33" s="28"/>
      <c r="E33" s="7"/>
      <c r="F33" s="7"/>
      <c r="G33" s="34"/>
      <c r="H33" s="34"/>
      <c r="I33" s="34"/>
      <c r="J33" s="34"/>
      <c r="K33" s="34"/>
      <c r="L33" s="34"/>
      <c r="M33" s="34"/>
      <c r="N33" s="34"/>
      <c r="O33" s="34"/>
    </row>
    <row r="34" spans="1:15" s="34" customFormat="1" x14ac:dyDescent="0.25">
      <c r="A34" s="26" t="s">
        <v>107</v>
      </c>
      <c r="B34" s="26" t="s">
        <v>50</v>
      </c>
      <c r="C34" s="26" t="s">
        <v>43</v>
      </c>
      <c r="D34" s="86" t="e">
        <f>#REF!*Allocations!F5</f>
        <v>#REF!</v>
      </c>
      <c r="E34" s="26" t="s">
        <v>8</v>
      </c>
      <c r="F34" s="26" t="s">
        <v>6</v>
      </c>
    </row>
    <row r="35" spans="1:15" s="34" customFormat="1" x14ac:dyDescent="0.25">
      <c r="A35" s="26" t="s">
        <v>108</v>
      </c>
      <c r="B35" s="26" t="s">
        <v>6</v>
      </c>
      <c r="C35" s="26" t="s">
        <v>6</v>
      </c>
      <c r="D35" s="87">
        <v>0</v>
      </c>
      <c r="E35" s="26" t="s">
        <v>8</v>
      </c>
      <c r="F35" s="26" t="s">
        <v>6</v>
      </c>
    </row>
    <row r="36" spans="1:15" s="34" customFormat="1" x14ac:dyDescent="0.25">
      <c r="A36" s="26" t="s">
        <v>109</v>
      </c>
      <c r="B36" s="26" t="s">
        <v>51</v>
      </c>
      <c r="C36" s="26" t="s">
        <v>43</v>
      </c>
      <c r="D36" s="86" t="e">
        <f>(#REF!/(0.0271794871794871*(1/1.056))*Allocations!F5)</f>
        <v>#REF!</v>
      </c>
      <c r="E36" s="26" t="s">
        <v>11</v>
      </c>
      <c r="F36" s="44" t="s">
        <v>144</v>
      </c>
    </row>
    <row r="37" spans="1:15" s="34" customFormat="1" ht="27.2" x14ac:dyDescent="0.25">
      <c r="A37" s="26" t="s">
        <v>110</v>
      </c>
      <c r="B37" s="26" t="s">
        <v>9</v>
      </c>
      <c r="C37" s="26" t="s">
        <v>10</v>
      </c>
      <c r="D37" s="87" t="e">
        <f>((#REF!*0.845*44.8)*Allocations!F5)</f>
        <v>#REF!</v>
      </c>
      <c r="E37" s="26" t="s">
        <v>11</v>
      </c>
      <c r="F37" s="44" t="s">
        <v>162</v>
      </c>
    </row>
    <row r="38" spans="1:15" s="34" customFormat="1" x14ac:dyDescent="0.25">
      <c r="A38" s="26" t="s">
        <v>111</v>
      </c>
      <c r="B38" s="26" t="s">
        <v>12</v>
      </c>
      <c r="C38" s="26" t="s">
        <v>13</v>
      </c>
      <c r="D38" s="87" t="e">
        <f>((#REF!*0.56)*Allocations!F5)</f>
        <v>#REF!</v>
      </c>
      <c r="E38" s="26" t="s">
        <v>163</v>
      </c>
      <c r="F38" s="26" t="s">
        <v>6</v>
      </c>
    </row>
    <row r="39" spans="1:15" s="34" customFormat="1" ht="14.95" customHeight="1" x14ac:dyDescent="0.25">
      <c r="A39" s="26" t="s">
        <v>112</v>
      </c>
      <c r="B39" s="1" t="s">
        <v>52</v>
      </c>
      <c r="C39" s="1" t="s">
        <v>43</v>
      </c>
      <c r="D39" s="87" t="e">
        <f>(#REF!/0.0246526315789474)*Allocations!F5</f>
        <v>#REF!</v>
      </c>
      <c r="E39" s="46" t="s">
        <v>11</v>
      </c>
      <c r="F39" s="26" t="s">
        <v>145</v>
      </c>
    </row>
    <row r="40" spans="1:15" s="34" customFormat="1" x14ac:dyDescent="0.25">
      <c r="A40" s="26" t="s">
        <v>113</v>
      </c>
      <c r="B40" s="26" t="s">
        <v>53</v>
      </c>
      <c r="C40" s="26" t="s">
        <v>43</v>
      </c>
      <c r="D40" s="87" t="e">
        <f>(#REF!*Allocations!F5)</f>
        <v>#REF!</v>
      </c>
      <c r="E40" s="26" t="s">
        <v>8</v>
      </c>
      <c r="F40" s="26" t="s">
        <v>6</v>
      </c>
    </row>
    <row r="41" spans="1:15" s="34" customFormat="1" x14ac:dyDescent="0.25">
      <c r="A41" s="26" t="s">
        <v>114</v>
      </c>
      <c r="B41" s="26" t="s">
        <v>45</v>
      </c>
      <c r="C41" s="26" t="s">
        <v>44</v>
      </c>
      <c r="D41" s="87" t="e">
        <f>(#REF!*Allocations!F5)</f>
        <v>#REF!</v>
      </c>
      <c r="E41" s="26" t="s">
        <v>8</v>
      </c>
      <c r="F41" s="26" t="s">
        <v>6</v>
      </c>
    </row>
    <row r="42" spans="1:15" s="34" customFormat="1" x14ac:dyDescent="0.25">
      <c r="A42" s="26" t="s">
        <v>115</v>
      </c>
      <c r="B42" s="26" t="s">
        <v>46</v>
      </c>
      <c r="C42" s="26" t="s">
        <v>44</v>
      </c>
      <c r="D42" s="87" t="e">
        <f>(#REF!*Allocations!F5)</f>
        <v>#REF!</v>
      </c>
      <c r="E42" s="26" t="s">
        <v>8</v>
      </c>
      <c r="F42" s="26" t="s">
        <v>6</v>
      </c>
    </row>
    <row r="43" spans="1:15" x14ac:dyDescent="0.25">
      <c r="A43" s="26" t="s">
        <v>164</v>
      </c>
      <c r="B43" s="26" t="e">
        <f>IF((AND(#REF!=1,#REF!= 3)),#REF!, IF((AND(#REF!= 1,#REF!= 4)),#REF!, IF((AND(#REF!= 1,#REF!= 5)),#REF!, IF((AND(#REF!= 1,#REF!= 6)),#REF!, IF((AND(#REF!= 3,#REF!= 3)),#REF!, IF((AND(#REF!= 3,#REF!= 4)),#REF!, IF((AND(#REF!= 3,#REF!= 5)),#REF!, IF((AND(#REF!= 3,#REF!= 6)),#REF!, IF((AND(#REF!= 6,#REF!= 3)),#REF!, IF((AND(#REF!= 6,#REF!= 4)),#REF!, IF((AND(#REF!= 6,#REF!= 5)),#REF!, IF((AND(#REF!= 6,#REF!= 6)),#REF!, IF((AND(#REF!= 20,#REF!= 3)),#REF!, IF((AND(#REF!= 20,#REF!= 4)),#REF!, IF((AND(#REF!= 20,#REF!= 5)),#REF!, IF((AND(#REF!= 20,#REF!= 6)),#REF!, "non compreso nell'intervallo"))))))))))))))))</f>
        <v>#REF!</v>
      </c>
      <c r="C43" s="26" t="s">
        <v>43</v>
      </c>
      <c r="D43" s="87" t="e">
        <f>D19*#REF!/1000</f>
        <v>#REF!</v>
      </c>
      <c r="E43" s="26" t="s">
        <v>14</v>
      </c>
      <c r="F43" s="26" t="s">
        <v>6</v>
      </c>
      <c r="G43" s="34"/>
      <c r="H43" s="34"/>
      <c r="I43" s="34"/>
      <c r="J43" s="34"/>
      <c r="K43" s="34"/>
      <c r="L43" s="34"/>
      <c r="M43" s="34"/>
      <c r="N43" s="34"/>
      <c r="O43" s="34"/>
    </row>
    <row r="44" spans="1:15" x14ac:dyDescent="0.25">
      <c r="A44" s="26" t="s">
        <v>165</v>
      </c>
      <c r="B44" s="26" t="e">
        <f>IF((AND(#REF!=1,#REF!= 3)),#REF!, IF((AND(#REF!= 1,#REF!= 4)),#REF!, IF((AND(#REF!= 1,#REF!= 5)),#REF!, IF((AND(#REF!= 1,#REF!= 6)),#REF!, IF((AND(#REF!= 3,#REF!= 3)),#REF!, IF((AND(#REF!= 3,#REF!= 4)),#REF!, IF((AND(#REF!= 3,#REF!= 5)),#REF!, IF((AND(#REF!= 3,#REF!= 6)),#REF!, IF((AND(#REF!= 6,#REF!= 3)),#REF!, IF((AND(#REF!= 6,#REF!= 4)),#REF!, IF((AND(#REF!= 6,#REF!= 5)),#REF!, IF((AND(#REF!= 6,#REF!= 6)),#REF!, IF((AND(#REF!= 20,#REF!= 3)),#REF!, IF((AND(#REF!= 20,#REF!= 4)),#REF!, IF((AND(#REF!= 20,#REF!= 5)),#REF!, IF((AND(#REF!= 20,#REF!= 6)),#REF!, "non compreso nell'intervallo"))))))))))))))))</f>
        <v>#REF!</v>
      </c>
      <c r="C44" s="26" t="s">
        <v>43</v>
      </c>
      <c r="D44" s="87" t="e">
        <f>D20*#REF!/1000</f>
        <v>#REF!</v>
      </c>
      <c r="E44" s="26" t="s">
        <v>14</v>
      </c>
      <c r="F44" s="26" t="s">
        <v>6</v>
      </c>
      <c r="G44" s="34"/>
      <c r="H44" s="34"/>
      <c r="I44" s="34"/>
      <c r="J44" s="34"/>
      <c r="K44" s="34"/>
      <c r="L44" s="34"/>
      <c r="M44" s="34"/>
      <c r="N44" s="34"/>
      <c r="O44" s="34"/>
    </row>
    <row r="45" spans="1:15" x14ac:dyDescent="0.25">
      <c r="A45" s="26" t="s">
        <v>116</v>
      </c>
      <c r="B45" s="26" t="e">
        <f>IF((AND(#REF!=1,#REF!= 3)),#REF!, IF((AND(#REF!= 1,#REF!= 4)),#REF!, IF((AND(#REF!= 1,#REF!= 5)),#REF!, IF((AND(#REF!= 1,#REF!= 6)),#REF!, IF((AND(#REF!= 3,#REF!= 3)),#REF!, IF((AND(#REF!= 3,#REF!= 4)),#REF!, IF((AND(#REF!= 3,#REF!= 5)),#REF!, IF((AND(#REF!= 3,#REF!= 6)),#REF!, IF((AND(#REF!= 6,#REF!= 3)),#REF!, IF((AND(#REF!= 6,#REF!= 4)),#REF!, IF((AND(#REF!= 6,#REF!= 5)),#REF!, IF((AND(#REF!= 6,#REF!= 6)),#REF!, IF((AND(#REF!= 20,#REF!= 3)),#REF!, IF((AND(#REF!= 20,#REF!= 4)),#REF!, IF((AND(#REF!= 20,#REF!= 5)),#REF!, IF((AND(#REF!= 20,#REF!= 6)),#REF!, "non compreso nell'intervallo"))))))))))))))))</f>
        <v>#REF!</v>
      </c>
      <c r="C45" s="26" t="s">
        <v>43</v>
      </c>
      <c r="D45" s="87" t="e">
        <f>D21*#REF!/1000</f>
        <v>#REF!</v>
      </c>
      <c r="E45" s="26" t="s">
        <v>14</v>
      </c>
      <c r="F45" s="26" t="s">
        <v>6</v>
      </c>
      <c r="G45" s="34"/>
      <c r="H45" s="34"/>
      <c r="I45" s="34"/>
      <c r="J45" s="34"/>
      <c r="K45" s="34"/>
      <c r="L45" s="34"/>
      <c r="M45" s="34"/>
      <c r="N45" s="34"/>
      <c r="O45" s="34"/>
    </row>
    <row r="46" spans="1:15" x14ac:dyDescent="0.25">
      <c r="A46" s="26" t="s">
        <v>117</v>
      </c>
      <c r="B46" s="26" t="e">
        <f>IF((AND(#REF!=1,#REF!= 3)),#REF!, IF((AND(#REF!= 1,#REF!= 4)),#REF!, IF((AND(#REF!= 1,#REF!= 5)),#REF!, IF((AND(#REF!= 1,#REF!= 6)),#REF!, IF((AND(#REF!= 3,#REF!= 3)),#REF!, IF((AND(#REF!= 3,#REF!= 4)),#REF!, IF((AND(#REF!= 3,#REF!= 5)),#REF!, IF((AND(#REF!= 3,#REF!= 6)),#REF!, IF((AND(#REF!= 6,#REF!= 3)),#REF!, IF((AND(#REF!= 6,#REF!= 4)),#REF!, IF((AND(#REF!= 6,#REF!= 5)),#REF!, IF((AND(#REF!= 6,#REF!= 6)),#REF!, IF((AND(#REF!= 20,#REF!= 3)),#REF!, IF((AND(#REF!= 20,#REF!= 4)),#REF!, IF((AND(#REF!= 20,#REF!= 5)),#REF!, IF((AND(#REF!= 20,#REF!= 6)),#REF!, "non compreso nell'intervallo"))))))))))))))))</f>
        <v>#REF!</v>
      </c>
      <c r="C46" s="26" t="s">
        <v>43</v>
      </c>
      <c r="D46" s="87" t="e">
        <f>D22*#REF!/1000</f>
        <v>#REF!</v>
      </c>
      <c r="E46" s="26" t="s">
        <v>14</v>
      </c>
      <c r="F46" s="26" t="s">
        <v>6</v>
      </c>
      <c r="G46" s="34"/>
      <c r="H46" s="34"/>
      <c r="I46" s="34"/>
      <c r="J46" s="34"/>
      <c r="K46" s="34"/>
      <c r="L46" s="34"/>
      <c r="M46" s="34"/>
      <c r="N46" s="34"/>
      <c r="O46" s="34"/>
    </row>
    <row r="47" spans="1:15" x14ac:dyDescent="0.25">
      <c r="A47" s="26" t="s">
        <v>166</v>
      </c>
      <c r="B47" s="26" t="e">
        <f>IF((AND(#REF!=1,#REF!= 3)),#REF!, IF((AND(#REF!= 1,#REF!= 4)),#REF!, IF((AND(#REF!= 1,#REF!= 5)),#REF!, IF((AND(#REF!= 1,#REF!= 6)),#REF!, IF((AND(#REF!= 3,#REF!= 3)),#REF!, IF((AND(#REF!= 3,#REF!= 4)),#REF!, IF((AND(#REF!= 3,#REF!= 5)),#REF!, IF((AND(#REF!= 3,#REF!= 6)),#REF!, IF((AND(#REF!= 6,#REF!= 3)),#REF!, IF((AND(#REF!= 6,#REF!= 4)),#REF!, IF((AND(#REF!= 6,#REF!= 5)),#REF!, IF((AND(#REF!= 6,#REF!= 6)),#REF!, IF((AND(#REF!= 20,#REF!= 3)),#REF!, IF((AND(#REF!= 20,#REF!= 4)),#REF!, IF((AND(#REF!= 20,#REF!= 5)),#REF!, IF((AND(#REF!= 20,#REF!= 6)),#REF!, "non compreso nell'intervallo"))))))))))))))))</f>
        <v>#REF!</v>
      </c>
      <c r="C47" s="26" t="s">
        <v>43</v>
      </c>
      <c r="D47" s="87" t="e">
        <f>IF(#REF!=#REF!,#REF!*(((D3/100)+D23+D24+D25)/1000),0)</f>
        <v>#REF!</v>
      </c>
      <c r="E47" s="26" t="s">
        <v>14</v>
      </c>
      <c r="F47" s="26" t="s">
        <v>6</v>
      </c>
      <c r="G47" s="34"/>
      <c r="H47" s="34"/>
      <c r="I47" s="34"/>
      <c r="J47" s="34"/>
      <c r="K47" s="34"/>
      <c r="L47" s="34"/>
      <c r="M47" s="34"/>
      <c r="N47" s="34"/>
      <c r="O47" s="34"/>
    </row>
    <row r="48" spans="1:15" x14ac:dyDescent="0.25">
      <c r="A48" s="26" t="s">
        <v>135</v>
      </c>
      <c r="B48" s="26" t="e">
        <f>IF((AND(#REF!=1,#REF!= 3)),#REF!, IF((AND(#REF!= 1,#REF!= 4)),#REF!, IF((AND(#REF!= 1,#REF!= 5)),#REF!, IF((AND(#REF!= 1,#REF!= 6)),#REF!, IF((AND(#REF!= 3,#REF!= 3)),#REF!, IF((AND(#REF!= 3,#REF!= 4)),#REF!, IF((AND(#REF!= 3,#REF!= 5)),#REF!, IF((AND(#REF!= 3,#REF!= 6)),#REF!, IF((AND(#REF!= 6,#REF!= 3)),#REF!, IF((AND(#REF!= 6,#REF!= 4)),#REF!, IF((AND(#REF!= 6,#REF!= 5)),#REF!, IF((AND(#REF!= 6,#REF!= 6)),#REF!, IF((AND(#REF!= 20,#REF!= 3)),#REF!, IF((AND(#REF!= 20,#REF!= 4)),#REF!, IF((AND(#REF!= 20,#REF!= 5)),#REF!, IF((AND(#REF!= 20,#REF!= 6)),#REF!, "non compreso nell'intervallo"))))))))))))))))</f>
        <v>#REF!</v>
      </c>
      <c r="C48" s="26" t="s">
        <v>43</v>
      </c>
      <c r="D48" s="87" t="e">
        <f>(#REF!/1000)*#REF!</f>
        <v>#REF!</v>
      </c>
      <c r="E48" s="26" t="s">
        <v>14</v>
      </c>
      <c r="F48" s="26" t="s">
        <v>6</v>
      </c>
      <c r="G48" s="34"/>
      <c r="H48" s="34"/>
      <c r="I48" s="34"/>
      <c r="J48" s="34"/>
      <c r="K48" s="34"/>
      <c r="L48" s="34"/>
      <c r="M48" s="34"/>
      <c r="N48" s="34"/>
      <c r="O48" s="34"/>
    </row>
    <row r="49" spans="1:15" s="34" customFormat="1" x14ac:dyDescent="0.25">
      <c r="A49" s="26" t="s">
        <v>136</v>
      </c>
      <c r="B49" s="26" t="e">
        <f>IF((AND(#REF!=1,#REF!= 3)),#REF!, IF((AND(#REF!= 1,#REF!= 4)),#REF!, IF((AND(#REF!= 1,#REF!= 5)),#REF!, IF((AND(#REF!= 1,#REF!= 6)),#REF!, IF((AND(#REF!= 3,#REF!= 3)),#REF!, IF((AND(#REF!= 3,#REF!= 4)),#REF!, IF((AND(#REF!= 3,#REF!= 5)),#REF!, IF((AND(#REF!= 3,#REF!= 6)),#REF!, IF((AND(#REF!= 6,#REF!= 3)),#REF!, IF((AND(#REF!= 6,#REF!= 4)),#REF!, IF((AND(#REF!= 6,#REF!= 5)),#REF!, IF((AND(#REF!= 6,#REF!= 6)),#REF!, IF((AND(#REF!= 20,#REF!= 3)),#REF!, IF((AND(#REF!= 20,#REF!= 4)),#REF!, IF((AND(#REF!= 20,#REF!= 5)),#REF!, IF((AND(#REF!= 20,#REF!= 6)),#REF!, "non compreso nell'intervallo"))))))))))))))))</f>
        <v>#REF!</v>
      </c>
      <c r="C49" s="26" t="s">
        <v>43</v>
      </c>
      <c r="D49" s="87" t="e">
        <f>(#REF!/1000)*#REF!</f>
        <v>#REF!</v>
      </c>
      <c r="E49" s="26" t="s">
        <v>14</v>
      </c>
      <c r="F49" s="26" t="s">
        <v>6</v>
      </c>
    </row>
    <row r="50" spans="1:15" s="34" customFormat="1" x14ac:dyDescent="0.25">
      <c r="A50" s="26" t="s">
        <v>137</v>
      </c>
      <c r="B50" s="26" t="e">
        <f>IF((AND(#REF!=1,#REF!= 3)),#REF!, IF((AND(#REF!= 1,#REF!= 4)),#REF!, IF((AND(#REF!= 1,#REF!= 5)),#REF!, IF((AND(#REF!= 1,#REF!= 6)),#REF!, IF((AND(#REF!= 3,#REF!= 3)),#REF!, IF((AND(#REF!= 3,#REF!= 4)),#REF!, IF((AND(#REF!= 3,#REF!= 5)),#REF!, IF((AND(#REF!= 3,#REF!= 6)),#REF!, IF((AND(#REF!= 6,#REF!= 3)),#REF!, IF((AND(#REF!= 6,#REF!= 4)),#REF!, IF((AND(#REF!= 6,#REF!= 5)),#REF!, IF((AND(#REF!= 6,#REF!= 6)),#REF!, IF((AND(#REF!= 20,#REF!= 3)),#REF!, IF((AND(#REF!= 20,#REF!= 4)),#REF!, IF((AND(#REF!= 20,#REF!= 5)),#REF!, IF((AND(#REF!= 20,#REF!= 6)),#REF!, "non compreso nell'intervallo"))))))))))))))))</f>
        <v>#REF!</v>
      </c>
      <c r="C50" s="26" t="s">
        <v>43</v>
      </c>
      <c r="D50" s="87" t="e">
        <f>(#REF!/1000)*#REF!</f>
        <v>#REF!</v>
      </c>
      <c r="E50" s="26" t="s">
        <v>14</v>
      </c>
      <c r="F50" s="26" t="s">
        <v>6</v>
      </c>
    </row>
    <row r="51" spans="1:15" s="34" customFormat="1" x14ac:dyDescent="0.25">
      <c r="A51" s="26" t="s">
        <v>138</v>
      </c>
      <c r="B51" s="26" t="s">
        <v>15</v>
      </c>
      <c r="C51" s="26" t="s">
        <v>7</v>
      </c>
      <c r="D51" s="87" t="e">
        <f>(D23/1000)*(100*0.804+30*(0.196*0.144)+30*(0.196*0.856))+(D24/1000)*(100*0+30*0.144+30*0.856)+(D25/1000)*(100*0+30*1+30*0)</f>
        <v>#REF!</v>
      </c>
      <c r="E51" s="26" t="s">
        <v>14</v>
      </c>
      <c r="F51" s="26" t="s">
        <v>6</v>
      </c>
    </row>
    <row r="52" spans="1:15" x14ac:dyDescent="0.25">
      <c r="A52" s="7"/>
      <c r="B52" s="7"/>
      <c r="C52" s="7"/>
      <c r="D52" s="28"/>
      <c r="E52" s="7"/>
      <c r="F52" s="7"/>
      <c r="G52" s="34"/>
      <c r="H52" s="34"/>
      <c r="I52" s="34"/>
      <c r="J52" s="34"/>
      <c r="K52" s="34"/>
      <c r="L52" s="34"/>
      <c r="M52" s="34"/>
      <c r="N52" s="34"/>
      <c r="O52" s="34"/>
    </row>
    <row r="53" spans="1:15" x14ac:dyDescent="0.25">
      <c r="A53" s="20" t="s">
        <v>16</v>
      </c>
      <c r="B53" s="21" t="s">
        <v>16</v>
      </c>
      <c r="C53" s="21"/>
      <c r="D53" s="22"/>
      <c r="E53" s="22"/>
      <c r="F53" s="22"/>
      <c r="G53" s="34"/>
      <c r="H53" s="34"/>
      <c r="I53" s="34"/>
      <c r="J53" s="34"/>
      <c r="K53" s="34"/>
      <c r="L53" s="34"/>
      <c r="M53" s="34"/>
      <c r="N53" s="34"/>
      <c r="O53" s="34"/>
    </row>
    <row r="54" spans="1:15" x14ac:dyDescent="0.25">
      <c r="A54" s="17" t="s">
        <v>120</v>
      </c>
      <c r="B54" s="23" t="s">
        <v>120</v>
      </c>
      <c r="C54" s="23"/>
      <c r="D54" s="24"/>
      <c r="E54" s="24"/>
      <c r="F54" s="24"/>
      <c r="G54" s="34"/>
      <c r="H54" s="34"/>
      <c r="I54" s="34"/>
      <c r="J54" s="34"/>
      <c r="K54" s="34"/>
      <c r="L54" s="34"/>
      <c r="M54" s="34"/>
      <c r="N54" s="34"/>
      <c r="O54" s="34"/>
    </row>
    <row r="55" spans="1:15" x14ac:dyDescent="0.25">
      <c r="A55" s="7"/>
      <c r="B55" s="7"/>
      <c r="C55" s="7"/>
      <c r="D55" s="1"/>
      <c r="E55" s="1"/>
      <c r="F55" s="1"/>
      <c r="G55" s="34"/>
      <c r="H55" s="34"/>
      <c r="I55" s="34"/>
      <c r="J55" s="34"/>
      <c r="K55" s="34"/>
      <c r="L55" s="34"/>
      <c r="M55" s="34"/>
      <c r="N55" s="34"/>
      <c r="O55" s="34"/>
    </row>
    <row r="56" spans="1:15" x14ac:dyDescent="0.25">
      <c r="A56" s="12" t="s">
        <v>104</v>
      </c>
      <c r="B56" s="12" t="s">
        <v>123</v>
      </c>
      <c r="C56" s="11" t="s">
        <v>124</v>
      </c>
      <c r="D56" s="12" t="s">
        <v>17</v>
      </c>
      <c r="E56" s="12" t="s">
        <v>100</v>
      </c>
      <c r="F56" s="12" t="s">
        <v>146</v>
      </c>
      <c r="G56" s="34"/>
      <c r="H56" s="34"/>
      <c r="I56" s="34"/>
      <c r="J56" s="34"/>
      <c r="K56" s="34"/>
      <c r="L56" s="34"/>
      <c r="M56" s="34"/>
      <c r="N56" s="34"/>
      <c r="O56" s="34"/>
    </row>
    <row r="57" spans="1:15" x14ac:dyDescent="0.25">
      <c r="A57" s="12"/>
      <c r="B57" s="12"/>
      <c r="C57" s="12"/>
      <c r="D57" s="12"/>
      <c r="E57" s="12"/>
      <c r="F57" s="12"/>
      <c r="G57" s="34"/>
      <c r="H57" s="34"/>
      <c r="I57" s="34"/>
      <c r="J57" s="34"/>
      <c r="K57" s="34"/>
      <c r="L57" s="34"/>
      <c r="M57" s="34"/>
      <c r="N57" s="34"/>
      <c r="O57" s="34"/>
    </row>
    <row r="58" spans="1:15" x14ac:dyDescent="0.25">
      <c r="A58" s="26" t="s">
        <v>40</v>
      </c>
      <c r="B58" s="7" t="s">
        <v>41</v>
      </c>
      <c r="C58" s="26" t="s">
        <v>42</v>
      </c>
      <c r="D58" s="81" t="e">
        <f>#REF!*Allocations!F5</f>
        <v>#REF!</v>
      </c>
      <c r="E58" s="26" t="s">
        <v>5</v>
      </c>
      <c r="F58" s="26" t="s">
        <v>6</v>
      </c>
      <c r="G58" s="34"/>
      <c r="H58" s="34"/>
      <c r="I58" s="34"/>
      <c r="J58" s="34"/>
      <c r="K58" s="34"/>
      <c r="L58" s="34"/>
      <c r="M58" s="34"/>
      <c r="N58" s="34"/>
      <c r="O58" s="34"/>
    </row>
    <row r="59" spans="1:15" x14ac:dyDescent="0.25">
      <c r="A59" s="26"/>
      <c r="B59" s="7"/>
      <c r="C59" s="26"/>
      <c r="D59" s="28"/>
      <c r="E59" s="26"/>
      <c r="F59" s="26"/>
      <c r="G59" s="34"/>
      <c r="H59" s="34"/>
      <c r="I59" s="34"/>
      <c r="J59" s="34"/>
      <c r="K59" s="34"/>
      <c r="L59" s="34"/>
      <c r="M59" s="34"/>
      <c r="N59" s="34"/>
      <c r="O59" s="34"/>
    </row>
    <row r="60" spans="1:15" x14ac:dyDescent="0.25">
      <c r="A60" s="17" t="s">
        <v>121</v>
      </c>
      <c r="B60" s="23" t="s">
        <v>121</v>
      </c>
      <c r="C60" s="23"/>
      <c r="D60" s="24"/>
      <c r="E60" s="24"/>
      <c r="F60" s="24"/>
      <c r="G60" s="34"/>
      <c r="H60" s="34"/>
      <c r="I60" s="34"/>
      <c r="J60" s="34"/>
      <c r="K60" s="34"/>
      <c r="L60" s="34"/>
      <c r="M60" s="34"/>
      <c r="N60" s="34"/>
      <c r="O60" s="34"/>
    </row>
    <row r="61" spans="1:15" ht="14.95" customHeight="1" x14ac:dyDescent="0.25">
      <c r="A61" s="7"/>
      <c r="B61" s="7"/>
      <c r="C61" s="7"/>
      <c r="D61" s="1"/>
      <c r="E61" s="1"/>
      <c r="F61" s="1"/>
      <c r="G61" s="34"/>
      <c r="H61" s="34"/>
      <c r="I61" s="34"/>
      <c r="J61" s="34"/>
      <c r="K61" s="34"/>
      <c r="L61" s="34"/>
      <c r="M61" s="34"/>
      <c r="N61" s="34"/>
      <c r="O61" s="34"/>
    </row>
    <row r="62" spans="1:15" x14ac:dyDescent="0.25">
      <c r="A62" s="12" t="s">
        <v>104</v>
      </c>
      <c r="B62" s="12" t="s">
        <v>123</v>
      </c>
      <c r="C62" s="11" t="s">
        <v>124</v>
      </c>
      <c r="D62" s="12" t="s">
        <v>17</v>
      </c>
      <c r="E62" s="12" t="s">
        <v>100</v>
      </c>
      <c r="F62" s="12" t="s">
        <v>146</v>
      </c>
      <c r="G62" s="34"/>
      <c r="H62" s="34"/>
      <c r="I62" s="34"/>
      <c r="J62" s="34"/>
      <c r="K62" s="34"/>
      <c r="L62" s="34"/>
      <c r="M62" s="34"/>
      <c r="N62" s="34"/>
      <c r="O62" s="34"/>
    </row>
    <row r="63" spans="1:15" x14ac:dyDescent="0.25">
      <c r="A63" s="12"/>
      <c r="B63" s="12"/>
      <c r="C63" s="12"/>
      <c r="D63" s="12"/>
      <c r="E63" s="12"/>
      <c r="F63" s="12"/>
      <c r="G63" s="34"/>
      <c r="H63" s="34"/>
      <c r="I63" s="34"/>
      <c r="J63" s="34"/>
      <c r="K63" s="34"/>
      <c r="L63" s="34"/>
      <c r="M63" s="34"/>
      <c r="N63" s="34"/>
      <c r="O63" s="34"/>
    </row>
    <row r="64" spans="1:15" x14ac:dyDescent="0.25">
      <c r="A64" s="7"/>
      <c r="B64" s="7"/>
      <c r="C64" s="7"/>
      <c r="D64" s="30"/>
      <c r="E64" s="7"/>
      <c r="F64" s="7"/>
      <c r="G64" s="34"/>
      <c r="H64" s="34"/>
      <c r="I64" s="34"/>
      <c r="J64" s="34"/>
      <c r="K64" s="34"/>
      <c r="L64" s="34"/>
      <c r="M64" s="34"/>
      <c r="N64" s="34"/>
      <c r="O64" s="34"/>
    </row>
    <row r="65" spans="1:15" x14ac:dyDescent="0.25">
      <c r="A65" s="17" t="s">
        <v>122</v>
      </c>
      <c r="B65" s="23" t="s">
        <v>122</v>
      </c>
      <c r="C65" s="23"/>
      <c r="D65" s="24"/>
      <c r="E65" s="24"/>
      <c r="F65" s="24"/>
      <c r="G65" s="34"/>
      <c r="H65" s="34"/>
      <c r="I65" s="34"/>
      <c r="J65" s="34"/>
      <c r="K65" s="34"/>
      <c r="L65" s="34"/>
      <c r="M65" s="34"/>
      <c r="N65" s="34"/>
      <c r="O65" s="34"/>
    </row>
    <row r="66" spans="1:15" x14ac:dyDescent="0.25">
      <c r="A66" s="7"/>
      <c r="B66" s="7"/>
      <c r="C66" s="7"/>
      <c r="D66" s="1"/>
      <c r="E66" s="1"/>
      <c r="F66" s="1"/>
      <c r="G66" s="34"/>
      <c r="H66" s="34"/>
      <c r="I66" s="34"/>
      <c r="J66" s="34"/>
      <c r="K66" s="34"/>
      <c r="L66" s="34"/>
      <c r="M66" s="34"/>
      <c r="N66" s="34"/>
      <c r="O66" s="34"/>
    </row>
    <row r="67" spans="1:15" x14ac:dyDescent="0.25">
      <c r="A67" s="12" t="s">
        <v>104</v>
      </c>
      <c r="B67" s="12" t="s">
        <v>123</v>
      </c>
      <c r="C67" s="11" t="s">
        <v>124</v>
      </c>
      <c r="D67" s="12" t="s">
        <v>17</v>
      </c>
      <c r="E67" s="12" t="s">
        <v>100</v>
      </c>
      <c r="F67" s="12" t="s">
        <v>146</v>
      </c>
      <c r="G67" s="34"/>
      <c r="H67" s="34"/>
      <c r="I67" s="34"/>
      <c r="J67" s="34"/>
      <c r="K67" s="34"/>
      <c r="L67" s="34"/>
      <c r="M67" s="34"/>
      <c r="N67" s="34"/>
      <c r="O67" s="34"/>
    </row>
    <row r="68" spans="1:15" x14ac:dyDescent="0.25">
      <c r="A68" s="7"/>
      <c r="B68" s="7"/>
      <c r="C68" s="7"/>
      <c r="D68" s="28"/>
      <c r="E68" s="7"/>
      <c r="F68" s="7"/>
      <c r="G68" s="34"/>
      <c r="H68" s="34"/>
      <c r="I68" s="34"/>
      <c r="J68" s="34"/>
      <c r="K68" s="34"/>
      <c r="L68" s="34"/>
      <c r="M68" s="34"/>
      <c r="N68" s="34"/>
      <c r="O68" s="34"/>
    </row>
    <row r="69" spans="1:15" x14ac:dyDescent="0.25">
      <c r="A69" s="17" t="s">
        <v>125</v>
      </c>
      <c r="B69" s="17" t="s">
        <v>125</v>
      </c>
      <c r="C69" s="17"/>
      <c r="D69" s="31"/>
      <c r="E69" s="31"/>
      <c r="F69" s="31"/>
      <c r="G69" s="34"/>
      <c r="H69" s="34"/>
      <c r="I69" s="34"/>
      <c r="J69" s="34"/>
      <c r="K69" s="34"/>
      <c r="L69" s="34"/>
      <c r="M69" s="34"/>
      <c r="N69" s="34"/>
      <c r="O69" s="34"/>
    </row>
    <row r="70" spans="1:15" x14ac:dyDescent="0.25">
      <c r="A70" s="18"/>
      <c r="B70" s="18"/>
      <c r="C70" s="18"/>
      <c r="D70" s="32" t="s">
        <v>17</v>
      </c>
      <c r="E70" s="32"/>
      <c r="F70" s="32"/>
      <c r="G70" s="34"/>
      <c r="H70" s="34"/>
      <c r="I70" s="34"/>
      <c r="J70" s="34"/>
      <c r="K70" s="34"/>
      <c r="L70" s="34"/>
      <c r="M70" s="34"/>
      <c r="N70" s="34"/>
      <c r="O70" s="34"/>
    </row>
    <row r="71" spans="1:15" x14ac:dyDescent="0.25">
      <c r="A71" s="12" t="s">
        <v>104</v>
      </c>
      <c r="B71" s="12" t="s">
        <v>123</v>
      </c>
      <c r="C71" s="11" t="s">
        <v>124</v>
      </c>
      <c r="D71" s="12" t="s">
        <v>17</v>
      </c>
      <c r="E71" s="11" t="s">
        <v>100</v>
      </c>
      <c r="F71" s="12" t="s">
        <v>146</v>
      </c>
      <c r="G71" s="34"/>
      <c r="H71" s="34"/>
      <c r="I71" s="34"/>
      <c r="J71" s="34"/>
      <c r="K71" s="34"/>
      <c r="L71" s="34"/>
      <c r="M71" s="34"/>
      <c r="N71" s="34"/>
      <c r="O71" s="34"/>
    </row>
    <row r="72" spans="1:15" x14ac:dyDescent="0.25">
      <c r="A72" s="198" t="s">
        <v>167</v>
      </c>
      <c r="B72" s="25" t="s">
        <v>141</v>
      </c>
      <c r="C72" s="26" t="s">
        <v>43</v>
      </c>
      <c r="D72" s="88" t="e">
        <f>D23*0.804</f>
        <v>#REF!</v>
      </c>
      <c r="E72" s="26" t="s">
        <v>5</v>
      </c>
      <c r="F72" s="11" t="s">
        <v>6</v>
      </c>
      <c r="G72" s="34"/>
      <c r="H72" s="34"/>
      <c r="I72" s="34"/>
      <c r="J72" s="34"/>
      <c r="K72" s="34"/>
      <c r="L72" s="34"/>
      <c r="M72" s="34"/>
      <c r="N72" s="34"/>
      <c r="O72" s="34"/>
    </row>
    <row r="73" spans="1:15" x14ac:dyDescent="0.25">
      <c r="A73" s="198"/>
      <c r="B73" s="25" t="s">
        <v>142</v>
      </c>
      <c r="C73" s="26" t="s">
        <v>43</v>
      </c>
      <c r="D73" s="88" t="e">
        <f>D23*((1-0.804)*0.144)</f>
        <v>#REF!</v>
      </c>
      <c r="E73" s="26" t="s">
        <v>5</v>
      </c>
      <c r="F73" s="11" t="s">
        <v>6</v>
      </c>
      <c r="G73" s="34"/>
      <c r="H73" s="34"/>
      <c r="I73" s="34"/>
      <c r="J73" s="34"/>
      <c r="K73" s="34"/>
      <c r="L73" s="34"/>
      <c r="M73" s="34"/>
      <c r="N73" s="34"/>
      <c r="O73" s="34"/>
    </row>
    <row r="74" spans="1:15" x14ac:dyDescent="0.25">
      <c r="A74" s="198"/>
      <c r="B74" s="25" t="s">
        <v>143</v>
      </c>
      <c r="C74" s="26" t="s">
        <v>43</v>
      </c>
      <c r="D74" s="88" t="e">
        <f>D23*((1-0.804)*0.856)</f>
        <v>#REF!</v>
      </c>
      <c r="E74" s="26" t="s">
        <v>5</v>
      </c>
      <c r="F74" s="11" t="s">
        <v>6</v>
      </c>
      <c r="G74" s="34"/>
      <c r="H74" s="34"/>
      <c r="I74" s="34"/>
      <c r="J74" s="34"/>
      <c r="K74" s="34"/>
      <c r="L74" s="34"/>
      <c r="M74" s="34"/>
      <c r="N74" s="34"/>
      <c r="O74" s="34"/>
    </row>
    <row r="75" spans="1:15" x14ac:dyDescent="0.25">
      <c r="A75" s="198" t="s">
        <v>139</v>
      </c>
      <c r="B75" s="25" t="s">
        <v>142</v>
      </c>
      <c r="C75" s="26" t="s">
        <v>43</v>
      </c>
      <c r="D75" s="88" t="e">
        <f>D24*0.144</f>
        <v>#REF!</v>
      </c>
      <c r="E75" s="26" t="s">
        <v>5</v>
      </c>
      <c r="F75" s="11" t="s">
        <v>6</v>
      </c>
      <c r="G75" s="34"/>
      <c r="H75" s="34"/>
      <c r="I75" s="34"/>
      <c r="J75" s="34"/>
      <c r="K75" s="34"/>
      <c r="L75" s="34"/>
      <c r="M75" s="34"/>
      <c r="N75" s="34"/>
      <c r="O75" s="34"/>
    </row>
    <row r="76" spans="1:15" x14ac:dyDescent="0.25">
      <c r="A76" s="198"/>
      <c r="B76" s="25" t="s">
        <v>143</v>
      </c>
      <c r="C76" s="26" t="s">
        <v>43</v>
      </c>
      <c r="D76" s="88" t="e">
        <f>D24*0.856</f>
        <v>#REF!</v>
      </c>
      <c r="E76" s="26" t="s">
        <v>5</v>
      </c>
      <c r="F76" s="11" t="s">
        <v>6</v>
      </c>
      <c r="G76" s="34"/>
      <c r="H76" s="34"/>
      <c r="I76" s="34"/>
      <c r="J76" s="34"/>
      <c r="K76" s="34"/>
      <c r="L76" s="34"/>
      <c r="M76" s="34"/>
      <c r="N76" s="34"/>
      <c r="O76" s="34"/>
    </row>
    <row r="77" spans="1:15" x14ac:dyDescent="0.25">
      <c r="A77" s="82" t="s">
        <v>140</v>
      </c>
      <c r="B77" s="25" t="s">
        <v>142</v>
      </c>
      <c r="C77" s="26" t="s">
        <v>43</v>
      </c>
      <c r="D77" s="88" t="e">
        <f>D25*1</f>
        <v>#REF!</v>
      </c>
      <c r="E77" s="26" t="s">
        <v>5</v>
      </c>
      <c r="F77" s="11" t="s">
        <v>6</v>
      </c>
      <c r="G77" s="34"/>
      <c r="H77" s="34"/>
      <c r="I77" s="34"/>
      <c r="J77" s="34"/>
      <c r="K77" s="34"/>
      <c r="L77" s="34"/>
      <c r="M77" s="34"/>
      <c r="N77" s="34"/>
      <c r="O77" s="34"/>
    </row>
    <row r="78" spans="1:15" s="34" customFormat="1" x14ac:dyDescent="0.25">
      <c r="A78" s="26" t="s">
        <v>168</v>
      </c>
      <c r="B78" s="26" t="s">
        <v>54</v>
      </c>
      <c r="C78" s="26" t="s">
        <v>55</v>
      </c>
      <c r="D78" s="89" t="e">
        <f>IF(#REF!=0,Allocations!I5,Allocations!I5)</f>
        <v>#REF!</v>
      </c>
      <c r="E78" s="26" t="s">
        <v>58</v>
      </c>
      <c r="F78" s="11" t="s">
        <v>6</v>
      </c>
    </row>
    <row r="79" spans="1:15" x14ac:dyDescent="0.25">
      <c r="A79" s="29"/>
      <c r="B79" s="29"/>
      <c r="C79" s="29"/>
      <c r="D79" s="61"/>
      <c r="E79" s="29"/>
      <c r="F79" s="29"/>
      <c r="G79" s="34"/>
      <c r="H79" s="34"/>
      <c r="I79" s="34"/>
      <c r="J79" s="34"/>
      <c r="K79" s="34"/>
      <c r="L79" s="34"/>
      <c r="M79" s="34"/>
      <c r="N79" s="34"/>
      <c r="O79" s="34"/>
    </row>
    <row r="80" spans="1:15" x14ac:dyDescent="0.25">
      <c r="A80" s="29"/>
      <c r="B80" s="29"/>
      <c r="C80" s="29"/>
      <c r="D80" s="61"/>
      <c r="E80" s="29"/>
      <c r="F80" s="29"/>
      <c r="G80" s="34"/>
      <c r="H80" s="34"/>
      <c r="I80" s="34"/>
      <c r="J80" s="34"/>
      <c r="K80" s="34"/>
      <c r="L80" s="34"/>
      <c r="M80" s="34"/>
      <c r="N80" s="34"/>
      <c r="O80" s="34"/>
    </row>
    <row r="81" spans="1:15" x14ac:dyDescent="0.25">
      <c r="A81" s="29"/>
      <c r="B81" s="29"/>
      <c r="C81" s="29"/>
      <c r="D81" s="61"/>
      <c r="E81" s="29"/>
      <c r="F81" s="29"/>
      <c r="G81" s="34"/>
      <c r="H81" s="34"/>
      <c r="I81" s="34"/>
      <c r="J81" s="34"/>
      <c r="K81" s="34"/>
      <c r="L81" s="34"/>
      <c r="M81" s="34"/>
      <c r="N81" s="34"/>
      <c r="O81" s="34"/>
    </row>
    <row r="82" spans="1:15" x14ac:dyDescent="0.25">
      <c r="A82" s="29"/>
      <c r="B82" s="29"/>
      <c r="C82" s="29"/>
      <c r="D82" s="61"/>
      <c r="E82" s="29"/>
      <c r="F82" s="29"/>
      <c r="G82" s="34"/>
      <c r="H82" s="34"/>
      <c r="I82" s="34"/>
      <c r="J82" s="34"/>
      <c r="K82" s="34"/>
      <c r="L82" s="34"/>
      <c r="M82" s="34"/>
      <c r="N82" s="34"/>
      <c r="O82" s="34"/>
    </row>
    <row r="83" spans="1:15" x14ac:dyDescent="0.25">
      <c r="A83" s="29"/>
      <c r="B83" s="29"/>
      <c r="C83" s="29"/>
      <c r="D83" s="61"/>
      <c r="E83" s="29"/>
      <c r="F83" s="29"/>
      <c r="G83" s="34"/>
      <c r="H83" s="34"/>
      <c r="I83" s="34"/>
      <c r="J83" s="34"/>
      <c r="K83" s="34"/>
      <c r="L83" s="34"/>
      <c r="M83" s="34"/>
      <c r="N83" s="34"/>
      <c r="O83" s="34"/>
    </row>
    <row r="84" spans="1:15" x14ac:dyDescent="0.25">
      <c r="A84" s="29"/>
      <c r="B84" s="29"/>
      <c r="C84" s="29"/>
      <c r="D84" s="61"/>
      <c r="E84" s="29"/>
      <c r="F84" s="29"/>
      <c r="G84" s="34"/>
      <c r="H84" s="34"/>
      <c r="I84" s="34"/>
      <c r="J84" s="34"/>
      <c r="K84" s="34"/>
      <c r="L84" s="34"/>
      <c r="M84" s="34"/>
      <c r="N84" s="34"/>
      <c r="O84" s="34"/>
    </row>
    <row r="85" spans="1:15" x14ac:dyDescent="0.25">
      <c r="A85" s="29"/>
      <c r="B85" s="29"/>
      <c r="C85" s="29"/>
      <c r="D85" s="61"/>
      <c r="E85" s="29"/>
      <c r="F85" s="29"/>
      <c r="G85" s="34"/>
      <c r="H85" s="34"/>
      <c r="I85" s="34"/>
      <c r="J85" s="34"/>
      <c r="K85" s="34"/>
      <c r="L85" s="34"/>
      <c r="M85" s="34"/>
      <c r="N85" s="34"/>
      <c r="O85" s="34"/>
    </row>
    <row r="86" spans="1:15" x14ac:dyDescent="0.25">
      <c r="A86" s="29"/>
      <c r="B86" s="29"/>
      <c r="C86" s="29"/>
      <c r="D86" s="61"/>
      <c r="E86" s="29"/>
      <c r="F86" s="29"/>
      <c r="G86" s="34"/>
      <c r="H86" s="34"/>
      <c r="I86" s="34"/>
      <c r="J86" s="34"/>
      <c r="K86" s="34"/>
      <c r="L86" s="34"/>
      <c r="M86" s="34"/>
      <c r="N86" s="34"/>
      <c r="O86" s="34"/>
    </row>
    <row r="87" spans="1:15" x14ac:dyDescent="0.25">
      <c r="A87" s="29"/>
      <c r="B87" s="29"/>
      <c r="C87" s="29"/>
      <c r="D87" s="61"/>
      <c r="E87" s="29"/>
      <c r="F87" s="29"/>
      <c r="G87" s="34"/>
      <c r="H87" s="34"/>
      <c r="I87" s="34"/>
      <c r="J87" s="34"/>
      <c r="K87" s="34"/>
      <c r="L87" s="34"/>
      <c r="M87" s="34"/>
      <c r="N87" s="34"/>
      <c r="O87" s="34"/>
    </row>
    <row r="88" spans="1:15" x14ac:dyDescent="0.25">
      <c r="A88" s="34"/>
      <c r="B88" s="34"/>
      <c r="C88" s="29"/>
      <c r="D88" s="61"/>
      <c r="E88" s="29"/>
      <c r="F88" s="29"/>
      <c r="G88" s="34"/>
      <c r="H88" s="34"/>
      <c r="I88" s="34"/>
      <c r="J88" s="34"/>
      <c r="K88" s="34"/>
      <c r="L88" s="34"/>
      <c r="M88" s="34"/>
      <c r="N88" s="34"/>
      <c r="O88" s="34"/>
    </row>
    <row r="89" spans="1:15" x14ac:dyDescent="0.25">
      <c r="A89" s="34"/>
      <c r="B89" s="34"/>
      <c r="C89" s="29"/>
      <c r="D89" s="61"/>
      <c r="E89" s="29"/>
      <c r="F89" s="29"/>
      <c r="G89" s="34"/>
      <c r="H89" s="34"/>
      <c r="I89" s="34"/>
      <c r="J89" s="34"/>
      <c r="K89" s="34"/>
      <c r="L89" s="34"/>
      <c r="M89" s="34"/>
      <c r="N89" s="34"/>
      <c r="O89" s="34"/>
    </row>
    <row r="90" spans="1:15" x14ac:dyDescent="0.25">
      <c r="A90" s="34"/>
      <c r="B90" s="34"/>
      <c r="C90" s="29"/>
      <c r="D90" s="61"/>
      <c r="E90" s="29"/>
      <c r="F90" s="29"/>
      <c r="G90" s="34"/>
      <c r="H90" s="34"/>
      <c r="I90" s="34"/>
      <c r="J90" s="34"/>
      <c r="K90" s="34"/>
      <c r="L90" s="34"/>
      <c r="M90" s="34"/>
      <c r="N90" s="34"/>
      <c r="O90" s="34"/>
    </row>
    <row r="91" spans="1:15" x14ac:dyDescent="0.25">
      <c r="A91" s="34"/>
      <c r="B91" s="34"/>
      <c r="C91" s="29"/>
      <c r="D91" s="61"/>
      <c r="E91" s="29"/>
      <c r="F91" s="29"/>
      <c r="G91" s="34"/>
      <c r="H91" s="34"/>
      <c r="I91" s="34"/>
      <c r="J91" s="34"/>
      <c r="K91" s="34"/>
      <c r="L91" s="34"/>
      <c r="M91" s="34"/>
      <c r="N91" s="34"/>
      <c r="O91" s="34"/>
    </row>
    <row r="92" spans="1:15" x14ac:dyDescent="0.25">
      <c r="A92" s="29"/>
      <c r="B92" s="29"/>
      <c r="C92" s="29"/>
      <c r="D92" s="61"/>
      <c r="E92" s="29"/>
      <c r="F92" s="29"/>
      <c r="G92" s="34"/>
      <c r="H92" s="34"/>
      <c r="I92" s="34"/>
      <c r="J92" s="34"/>
      <c r="K92" s="34"/>
      <c r="L92" s="34"/>
      <c r="M92" s="34"/>
      <c r="N92" s="34"/>
      <c r="O92" s="34"/>
    </row>
    <row r="93" spans="1:15" x14ac:dyDescent="0.25">
      <c r="A93" s="29"/>
      <c r="B93" s="29"/>
      <c r="C93" s="29"/>
      <c r="D93" s="61"/>
      <c r="E93" s="29"/>
      <c r="F93" s="29"/>
      <c r="G93" s="34"/>
      <c r="H93" s="34"/>
      <c r="I93" s="34"/>
      <c r="J93" s="34"/>
      <c r="K93" s="34"/>
      <c r="L93" s="34"/>
      <c r="M93" s="34"/>
      <c r="N93" s="34"/>
      <c r="O93" s="34"/>
    </row>
    <row r="94" spans="1:15" x14ac:dyDescent="0.25">
      <c r="A94" s="33"/>
      <c r="B94" s="33"/>
      <c r="C94" s="33"/>
      <c r="D94" s="30"/>
      <c r="E94" s="33"/>
      <c r="F94" s="33"/>
      <c r="G94" s="34"/>
      <c r="H94" s="34"/>
      <c r="I94" s="34"/>
      <c r="J94" s="34"/>
      <c r="K94" s="34"/>
      <c r="L94" s="34"/>
      <c r="M94" s="34"/>
      <c r="N94" s="34"/>
      <c r="O94" s="34"/>
    </row>
    <row r="95" spans="1:15" x14ac:dyDescent="0.25">
      <c r="A95" s="33"/>
      <c r="B95" s="33"/>
      <c r="C95" s="33"/>
      <c r="D95" s="30"/>
      <c r="E95" s="33"/>
      <c r="F95" s="33"/>
    </row>
    <row r="96" spans="1:15" x14ac:dyDescent="0.25">
      <c r="A96" s="33"/>
      <c r="B96" s="33"/>
      <c r="C96" s="33"/>
      <c r="D96" s="30"/>
      <c r="E96" s="33"/>
      <c r="F96" s="33"/>
    </row>
    <row r="97" spans="1:6" x14ac:dyDescent="0.25">
      <c r="A97" s="33"/>
      <c r="B97" s="33"/>
      <c r="C97" s="33"/>
      <c r="D97" s="30"/>
      <c r="E97" s="33"/>
      <c r="F97" s="33"/>
    </row>
    <row r="98" spans="1:6" x14ac:dyDescent="0.25">
      <c r="A98" s="33"/>
      <c r="B98" s="33"/>
      <c r="C98" s="33"/>
      <c r="D98" s="30"/>
      <c r="E98" s="33"/>
      <c r="F98" s="33"/>
    </row>
    <row r="99" spans="1:6" x14ac:dyDescent="0.25">
      <c r="A99" s="33"/>
      <c r="B99" s="33"/>
      <c r="C99" s="33"/>
      <c r="D99" s="30"/>
      <c r="E99" s="33"/>
      <c r="F99" s="33"/>
    </row>
    <row r="100" spans="1:6" x14ac:dyDescent="0.25">
      <c r="A100" s="33"/>
      <c r="B100" s="33"/>
      <c r="C100" s="33"/>
      <c r="D100" s="30"/>
      <c r="E100" s="33"/>
      <c r="F100" s="33"/>
    </row>
    <row r="101" spans="1:6" x14ac:dyDescent="0.25">
      <c r="A101" s="33"/>
      <c r="B101" s="33"/>
      <c r="C101" s="33"/>
      <c r="D101" s="30"/>
      <c r="E101" s="33"/>
      <c r="F101" s="33"/>
    </row>
    <row r="102" spans="1:6" x14ac:dyDescent="0.25">
      <c r="A102" s="33"/>
      <c r="B102" s="33"/>
      <c r="C102" s="33"/>
      <c r="D102" s="30"/>
      <c r="E102" s="33"/>
      <c r="F102" s="33"/>
    </row>
    <row r="103" spans="1:6" x14ac:dyDescent="0.25">
      <c r="A103" s="33"/>
      <c r="B103" s="33"/>
      <c r="C103" s="33"/>
      <c r="D103" s="30"/>
      <c r="E103" s="33"/>
      <c r="F103" s="33"/>
    </row>
    <row r="104" spans="1:6" x14ac:dyDescent="0.25">
      <c r="A104" s="33"/>
      <c r="B104" s="33"/>
      <c r="C104" s="33"/>
      <c r="D104" s="30"/>
      <c r="E104" s="33"/>
      <c r="F104" s="33"/>
    </row>
    <row r="105" spans="1:6" x14ac:dyDescent="0.25">
      <c r="A105" s="33"/>
      <c r="B105" s="33"/>
      <c r="C105" s="33"/>
      <c r="D105" s="30"/>
      <c r="E105" s="33"/>
      <c r="F105" s="33"/>
    </row>
    <row r="106" spans="1:6" x14ac:dyDescent="0.25">
      <c r="A106" s="33"/>
      <c r="B106" s="33"/>
      <c r="C106" s="33"/>
      <c r="D106" s="30"/>
      <c r="E106" s="33"/>
      <c r="F106" s="33"/>
    </row>
    <row r="107" spans="1:6" x14ac:dyDescent="0.25">
      <c r="A107" s="33"/>
      <c r="B107" s="33"/>
      <c r="C107" s="33"/>
      <c r="D107" s="30"/>
      <c r="E107" s="33"/>
      <c r="F107" s="33"/>
    </row>
    <row r="108" spans="1:6" x14ac:dyDescent="0.25">
      <c r="A108" s="33"/>
      <c r="B108" s="33"/>
      <c r="C108" s="33"/>
      <c r="E108" s="33"/>
      <c r="F108" s="33"/>
    </row>
    <row r="109" spans="1:6" x14ac:dyDescent="0.25">
      <c r="A109" s="33"/>
      <c r="B109" s="33"/>
      <c r="C109" s="33"/>
      <c r="E109" s="33"/>
      <c r="F109" s="33"/>
    </row>
    <row r="110" spans="1:6" x14ac:dyDescent="0.25">
      <c r="A110" s="33"/>
      <c r="B110" s="33"/>
      <c r="C110" s="33"/>
      <c r="E110" s="33"/>
      <c r="F110" s="33"/>
    </row>
    <row r="111" spans="1:6" x14ac:dyDescent="0.25">
      <c r="A111" s="33"/>
      <c r="B111" s="33"/>
      <c r="C111" s="33"/>
      <c r="E111" s="33"/>
      <c r="F111" s="33"/>
    </row>
    <row r="112" spans="1:6" x14ac:dyDescent="0.25">
      <c r="A112" s="33"/>
      <c r="B112" s="33"/>
      <c r="C112" s="33"/>
      <c r="E112" s="33"/>
      <c r="F112" s="33"/>
    </row>
    <row r="113" spans="1:6" x14ac:dyDescent="0.25">
      <c r="A113" s="33"/>
      <c r="B113" s="33"/>
      <c r="C113" s="33"/>
      <c r="E113" s="33"/>
      <c r="F113" s="33"/>
    </row>
    <row r="114" spans="1:6" x14ac:dyDescent="0.25">
      <c r="A114" s="33"/>
      <c r="B114" s="33"/>
      <c r="C114" s="33"/>
      <c r="E114" s="33"/>
      <c r="F114" s="33"/>
    </row>
    <row r="115" spans="1:6" x14ac:dyDescent="0.25">
      <c r="A115" s="33"/>
      <c r="B115" s="33"/>
      <c r="C115" s="33"/>
      <c r="E115" s="33"/>
      <c r="F115" s="33"/>
    </row>
    <row r="116" spans="1:6" x14ac:dyDescent="0.25">
      <c r="A116" s="33"/>
      <c r="B116" s="33"/>
      <c r="C116" s="33"/>
      <c r="E116" s="33"/>
      <c r="F116" s="33"/>
    </row>
    <row r="117" spans="1:6" x14ac:dyDescent="0.25">
      <c r="A117" s="33"/>
      <c r="B117" s="33"/>
      <c r="C117" s="33"/>
      <c r="E117" s="33"/>
      <c r="F117" s="33"/>
    </row>
    <row r="118" spans="1:6" x14ac:dyDescent="0.25">
      <c r="A118" s="33"/>
      <c r="B118" s="33"/>
      <c r="C118" s="33"/>
      <c r="E118" s="33"/>
      <c r="F118" s="33"/>
    </row>
    <row r="119" spans="1:6" x14ac:dyDescent="0.25">
      <c r="A119" s="33"/>
      <c r="B119" s="33"/>
      <c r="C119" s="33"/>
      <c r="E119" s="33"/>
      <c r="F119" s="33"/>
    </row>
    <row r="120" spans="1:6" x14ac:dyDescent="0.25">
      <c r="A120" s="33"/>
      <c r="B120" s="33"/>
      <c r="C120" s="33"/>
      <c r="E120" s="33"/>
      <c r="F120" s="33"/>
    </row>
    <row r="121" spans="1:6" x14ac:dyDescent="0.25">
      <c r="A121" s="33"/>
      <c r="B121" s="33"/>
      <c r="C121" s="33"/>
      <c r="E121" s="33"/>
      <c r="F121" s="33"/>
    </row>
    <row r="122" spans="1:6" x14ac:dyDescent="0.25">
      <c r="A122" s="33"/>
      <c r="B122" s="33"/>
      <c r="C122" s="33"/>
      <c r="E122" s="33"/>
      <c r="F122" s="33"/>
    </row>
    <row r="123" spans="1:6" x14ac:dyDescent="0.25">
      <c r="A123" s="33"/>
      <c r="B123" s="33"/>
      <c r="C123" s="33"/>
      <c r="E123" s="33"/>
      <c r="F123" s="33"/>
    </row>
    <row r="124" spans="1:6" x14ac:dyDescent="0.25">
      <c r="A124" s="33"/>
      <c r="B124" s="33"/>
      <c r="C124" s="33"/>
      <c r="E124" s="33"/>
      <c r="F124" s="33"/>
    </row>
    <row r="125" spans="1:6" x14ac:dyDescent="0.25">
      <c r="A125" s="33"/>
      <c r="B125" s="33"/>
      <c r="C125" s="33"/>
      <c r="E125" s="33"/>
      <c r="F125" s="33"/>
    </row>
    <row r="126" spans="1:6" x14ac:dyDescent="0.25">
      <c r="A126" s="33"/>
      <c r="B126" s="33"/>
      <c r="C126" s="33"/>
      <c r="E126" s="33"/>
      <c r="F126" s="33"/>
    </row>
    <row r="127" spans="1:6" x14ac:dyDescent="0.25">
      <c r="A127" s="33"/>
      <c r="B127" s="33"/>
      <c r="C127" s="33"/>
      <c r="E127" s="33"/>
      <c r="F127" s="33"/>
    </row>
    <row r="128" spans="1:6" x14ac:dyDescent="0.25">
      <c r="A128" s="33"/>
      <c r="B128" s="33"/>
      <c r="C128" s="33"/>
      <c r="E128" s="33"/>
      <c r="F128" s="33"/>
    </row>
    <row r="129" spans="1:6" x14ac:dyDescent="0.25">
      <c r="A129" s="33"/>
      <c r="B129" s="33"/>
      <c r="C129" s="33"/>
      <c r="E129" s="33"/>
      <c r="F129" s="33"/>
    </row>
    <row r="130" spans="1:6" x14ac:dyDescent="0.25">
      <c r="A130" s="33"/>
      <c r="B130" s="33"/>
      <c r="C130" s="33"/>
      <c r="E130" s="33"/>
      <c r="F130" s="33"/>
    </row>
    <row r="131" spans="1:6" x14ac:dyDescent="0.25">
      <c r="A131" s="33"/>
      <c r="B131" s="33"/>
      <c r="C131" s="33"/>
      <c r="E131" s="33"/>
      <c r="F131" s="33"/>
    </row>
    <row r="132" spans="1:6" x14ac:dyDescent="0.25">
      <c r="A132" s="33"/>
      <c r="B132" s="33"/>
      <c r="C132" s="33"/>
      <c r="E132" s="33"/>
      <c r="F132" s="33"/>
    </row>
    <row r="133" spans="1:6" x14ac:dyDescent="0.25">
      <c r="A133" s="33"/>
      <c r="B133" s="33"/>
      <c r="C133" s="33"/>
      <c r="E133" s="33"/>
      <c r="F133" s="33"/>
    </row>
    <row r="134" spans="1:6" x14ac:dyDescent="0.25">
      <c r="A134" s="33"/>
      <c r="B134" s="33"/>
      <c r="C134" s="33"/>
      <c r="E134" s="33"/>
      <c r="F134" s="33"/>
    </row>
    <row r="135" spans="1:6" x14ac:dyDescent="0.25">
      <c r="A135" s="33"/>
      <c r="B135" s="33"/>
      <c r="C135" s="33"/>
      <c r="E135" s="33"/>
      <c r="F135" s="33"/>
    </row>
    <row r="136" spans="1:6" x14ac:dyDescent="0.25">
      <c r="A136" s="33"/>
      <c r="B136" s="33"/>
      <c r="C136" s="33"/>
      <c r="E136" s="33"/>
      <c r="F136" s="33"/>
    </row>
    <row r="137" spans="1:6" x14ac:dyDescent="0.25">
      <c r="A137" s="33"/>
      <c r="B137" s="33"/>
      <c r="C137" s="33"/>
      <c r="E137" s="33"/>
      <c r="F137" s="33"/>
    </row>
    <row r="138" spans="1:6" x14ac:dyDescent="0.25">
      <c r="A138" s="33"/>
      <c r="B138" s="33"/>
      <c r="C138" s="33"/>
      <c r="E138" s="33"/>
      <c r="F138" s="33"/>
    </row>
    <row r="139" spans="1:6" x14ac:dyDescent="0.25">
      <c r="A139" s="33"/>
      <c r="B139" s="33"/>
      <c r="C139" s="33"/>
    </row>
    <row r="140" spans="1:6" x14ac:dyDescent="0.25">
      <c r="A140" s="33"/>
      <c r="B140" s="33"/>
      <c r="C140" s="33"/>
    </row>
    <row r="141" spans="1:6" x14ac:dyDescent="0.25">
      <c r="A141" s="33"/>
      <c r="B141" s="33"/>
      <c r="C141" s="33"/>
    </row>
    <row r="142" spans="1:6" x14ac:dyDescent="0.25">
      <c r="A142" s="33"/>
      <c r="B142" s="33"/>
      <c r="C142" s="33"/>
    </row>
    <row r="143" spans="1:6" x14ac:dyDescent="0.25">
      <c r="A143" s="33"/>
      <c r="B143" s="33"/>
      <c r="C143" s="33"/>
    </row>
    <row r="144" spans="1:6" x14ac:dyDescent="0.25">
      <c r="A144" s="33"/>
      <c r="B144" s="33"/>
      <c r="C144" s="33"/>
    </row>
    <row r="145" spans="1:3" x14ac:dyDescent="0.25">
      <c r="A145" s="33"/>
      <c r="B145" s="33"/>
      <c r="C145" s="33"/>
    </row>
    <row r="146" spans="1:3" x14ac:dyDescent="0.25">
      <c r="A146" s="33"/>
      <c r="B146" s="33"/>
      <c r="C146" s="33"/>
    </row>
    <row r="147" spans="1:3" x14ac:dyDescent="0.25">
      <c r="A147" s="33"/>
      <c r="B147" s="33"/>
      <c r="C147" s="33"/>
    </row>
    <row r="148" spans="1:3" x14ac:dyDescent="0.25">
      <c r="A148" s="33"/>
      <c r="B148" s="33"/>
      <c r="C148" s="33"/>
    </row>
    <row r="149" spans="1:3" x14ac:dyDescent="0.25">
      <c r="A149" s="33"/>
      <c r="B149" s="33"/>
      <c r="C149" s="33"/>
    </row>
    <row r="150" spans="1:3" x14ac:dyDescent="0.25">
      <c r="A150" s="33"/>
      <c r="B150" s="33"/>
      <c r="C150" s="33"/>
    </row>
    <row r="151" spans="1:3" x14ac:dyDescent="0.25">
      <c r="A151" s="33"/>
      <c r="B151" s="33"/>
      <c r="C151" s="33"/>
    </row>
    <row r="152" spans="1:3" x14ac:dyDescent="0.25">
      <c r="A152" s="33"/>
      <c r="B152" s="33"/>
      <c r="C152" s="33"/>
    </row>
    <row r="153" spans="1:3" x14ac:dyDescent="0.25">
      <c r="A153" s="33"/>
      <c r="B153" s="33"/>
      <c r="C153" s="33"/>
    </row>
    <row r="154" spans="1:3" x14ac:dyDescent="0.25">
      <c r="A154" s="33"/>
      <c r="B154" s="33"/>
      <c r="C154" s="33"/>
    </row>
    <row r="155" spans="1:3" x14ac:dyDescent="0.25">
      <c r="A155" s="33"/>
      <c r="B155" s="33"/>
      <c r="C155" s="33"/>
    </row>
    <row r="156" spans="1:3" x14ac:dyDescent="0.25">
      <c r="A156" s="33"/>
      <c r="B156" s="33"/>
      <c r="C156" s="33"/>
    </row>
    <row r="157" spans="1:3" x14ac:dyDescent="0.25">
      <c r="A157" s="33"/>
      <c r="B157" s="33"/>
      <c r="C157" s="33"/>
    </row>
    <row r="158" spans="1:3" x14ac:dyDescent="0.25">
      <c r="A158" s="33"/>
      <c r="B158" s="33"/>
      <c r="C158" s="33"/>
    </row>
    <row r="159" spans="1:3" x14ac:dyDescent="0.25">
      <c r="A159" s="33"/>
      <c r="B159" s="33"/>
      <c r="C159" s="33"/>
    </row>
    <row r="160" spans="1:3" x14ac:dyDescent="0.25">
      <c r="A160" s="33"/>
      <c r="B160" s="33"/>
      <c r="C160" s="33"/>
    </row>
    <row r="161" spans="1:3" x14ac:dyDescent="0.25">
      <c r="A161" s="33"/>
      <c r="B161" s="33"/>
      <c r="C161" s="33"/>
    </row>
    <row r="162" spans="1:3" x14ac:dyDescent="0.25">
      <c r="A162" s="33"/>
      <c r="B162" s="33"/>
      <c r="C162" s="33"/>
    </row>
    <row r="163" spans="1:3" x14ac:dyDescent="0.25">
      <c r="A163" s="33"/>
      <c r="B163" s="33"/>
      <c r="C163" s="33"/>
    </row>
    <row r="164" spans="1:3" x14ac:dyDescent="0.25">
      <c r="A164" s="33"/>
      <c r="B164" s="33"/>
      <c r="C164" s="33"/>
    </row>
    <row r="165" spans="1:3" x14ac:dyDescent="0.25">
      <c r="A165" s="33"/>
      <c r="B165" s="33"/>
      <c r="C165" s="33"/>
    </row>
    <row r="166" spans="1:3" x14ac:dyDescent="0.25">
      <c r="A166" s="33"/>
      <c r="B166" s="33"/>
      <c r="C166" s="33"/>
    </row>
    <row r="167" spans="1:3" x14ac:dyDescent="0.25">
      <c r="A167" s="33"/>
      <c r="B167" s="33"/>
      <c r="C167" s="33"/>
    </row>
    <row r="168" spans="1:3" x14ac:dyDescent="0.25">
      <c r="A168" s="33"/>
      <c r="B168" s="33"/>
      <c r="C168" s="33"/>
    </row>
    <row r="169" spans="1:3" x14ac:dyDescent="0.25">
      <c r="A169" s="33"/>
      <c r="B169" s="33"/>
      <c r="C169" s="33"/>
    </row>
    <row r="170" spans="1:3" x14ac:dyDescent="0.25">
      <c r="A170" s="33"/>
      <c r="B170" s="33"/>
      <c r="C170" s="33"/>
    </row>
    <row r="171" spans="1:3" x14ac:dyDescent="0.25">
      <c r="A171" s="33"/>
      <c r="B171" s="33"/>
      <c r="C171" s="33"/>
    </row>
    <row r="172" spans="1:3" x14ac:dyDescent="0.25">
      <c r="A172" s="33"/>
      <c r="B172" s="33"/>
      <c r="C172" s="33"/>
    </row>
    <row r="173" spans="1:3" x14ac:dyDescent="0.25">
      <c r="A173" s="33"/>
      <c r="B173" s="33"/>
      <c r="C173" s="33"/>
    </row>
    <row r="174" spans="1:3" x14ac:dyDescent="0.25">
      <c r="A174" s="33"/>
      <c r="B174" s="33"/>
      <c r="C174" s="33"/>
    </row>
    <row r="175" spans="1:3" x14ac:dyDescent="0.25">
      <c r="A175" s="33"/>
      <c r="B175" s="33"/>
      <c r="C175" s="33"/>
    </row>
    <row r="176" spans="1:3" x14ac:dyDescent="0.25">
      <c r="A176" s="33"/>
      <c r="B176" s="33"/>
      <c r="C176" s="33"/>
    </row>
    <row r="177" spans="1:3" x14ac:dyDescent="0.25">
      <c r="A177" s="33"/>
      <c r="B177" s="33"/>
      <c r="C177" s="33"/>
    </row>
    <row r="178" spans="1:3" x14ac:dyDescent="0.25">
      <c r="A178" s="33"/>
      <c r="B178" s="33"/>
      <c r="C178" s="33"/>
    </row>
    <row r="179" spans="1:3" x14ac:dyDescent="0.25">
      <c r="A179" s="33"/>
      <c r="B179" s="33"/>
      <c r="C179" s="33"/>
    </row>
    <row r="180" spans="1:3" x14ac:dyDescent="0.25">
      <c r="A180" s="33"/>
      <c r="B180" s="33"/>
      <c r="C180" s="33"/>
    </row>
    <row r="181" spans="1:3" x14ac:dyDescent="0.25">
      <c r="A181" s="33"/>
      <c r="B181" s="33"/>
      <c r="C181" s="33"/>
    </row>
    <row r="182" spans="1:3" x14ac:dyDescent="0.25">
      <c r="A182" s="33"/>
      <c r="B182" s="33"/>
      <c r="C182" s="33"/>
    </row>
    <row r="183" spans="1:3" x14ac:dyDescent="0.25">
      <c r="A183" s="33"/>
      <c r="B183" s="33"/>
      <c r="C183" s="33"/>
    </row>
    <row r="184" spans="1:3" x14ac:dyDescent="0.25">
      <c r="A184" s="33"/>
      <c r="B184" s="33"/>
      <c r="C184" s="33"/>
    </row>
    <row r="185" spans="1:3" x14ac:dyDescent="0.25">
      <c r="A185" s="33"/>
      <c r="B185" s="33"/>
      <c r="C185" s="33"/>
    </row>
    <row r="186" spans="1:3" x14ac:dyDescent="0.25">
      <c r="A186" s="33"/>
      <c r="B186" s="33"/>
      <c r="C186" s="33"/>
    </row>
    <row r="187" spans="1:3" x14ac:dyDescent="0.25">
      <c r="A187" s="33"/>
      <c r="B187" s="33"/>
      <c r="C187" s="33"/>
    </row>
    <row r="188" spans="1:3" x14ac:dyDescent="0.25">
      <c r="A188" s="33"/>
      <c r="B188" s="33"/>
      <c r="C188" s="33"/>
    </row>
    <row r="189" spans="1:3" x14ac:dyDescent="0.25">
      <c r="A189" s="33"/>
      <c r="B189" s="33"/>
      <c r="C189" s="33"/>
    </row>
    <row r="190" spans="1:3" x14ac:dyDescent="0.25">
      <c r="A190" s="33"/>
      <c r="B190" s="33"/>
      <c r="C190" s="33"/>
    </row>
    <row r="191" spans="1:3" x14ac:dyDescent="0.25">
      <c r="A191" s="33"/>
      <c r="B191" s="33"/>
      <c r="C191" s="33"/>
    </row>
    <row r="192" spans="1:3" x14ac:dyDescent="0.25">
      <c r="A192" s="33"/>
      <c r="B192" s="33"/>
      <c r="C192" s="33"/>
    </row>
    <row r="193" spans="1:3" x14ac:dyDescent="0.25">
      <c r="A193" s="33"/>
      <c r="B193" s="33"/>
      <c r="C193" s="33"/>
    </row>
    <row r="194" spans="1:3" x14ac:dyDescent="0.25">
      <c r="A194" s="33"/>
      <c r="B194" s="33"/>
      <c r="C194" s="33"/>
    </row>
    <row r="195" spans="1:3" x14ac:dyDescent="0.25">
      <c r="A195" s="33"/>
      <c r="B195" s="33"/>
      <c r="C195" s="33"/>
    </row>
    <row r="196" spans="1:3" x14ac:dyDescent="0.25">
      <c r="A196" s="33"/>
      <c r="B196" s="33"/>
      <c r="C196" s="33"/>
    </row>
    <row r="197" spans="1:3" x14ac:dyDescent="0.25">
      <c r="A197" s="33"/>
      <c r="B197" s="33"/>
      <c r="C197" s="33"/>
    </row>
    <row r="198" spans="1:3" x14ac:dyDescent="0.25">
      <c r="A198" s="33"/>
      <c r="B198" s="33"/>
      <c r="C198" s="33"/>
    </row>
    <row r="199" spans="1:3" x14ac:dyDescent="0.25">
      <c r="A199" s="33"/>
      <c r="B199" s="33"/>
      <c r="C199" s="33"/>
    </row>
    <row r="200" spans="1:3" x14ac:dyDescent="0.25">
      <c r="A200" s="33"/>
      <c r="B200" s="33"/>
      <c r="C200" s="33"/>
    </row>
    <row r="201" spans="1:3" x14ac:dyDescent="0.25">
      <c r="A201" s="33"/>
      <c r="B201" s="33"/>
      <c r="C201" s="33"/>
    </row>
    <row r="202" spans="1:3" x14ac:dyDescent="0.25">
      <c r="A202" s="33"/>
      <c r="B202" s="33"/>
      <c r="C202" s="33"/>
    </row>
    <row r="203" spans="1:3" x14ac:dyDescent="0.25">
      <c r="A203" s="33"/>
      <c r="B203" s="33"/>
      <c r="C203" s="33"/>
    </row>
    <row r="204" spans="1:3" x14ac:dyDescent="0.25">
      <c r="A204" s="33"/>
      <c r="B204" s="33"/>
      <c r="C204" s="33"/>
    </row>
    <row r="205" spans="1:3" x14ac:dyDescent="0.25">
      <c r="A205" s="33"/>
      <c r="B205" s="33"/>
      <c r="C205" s="33"/>
    </row>
    <row r="206" spans="1:3" x14ac:dyDescent="0.25">
      <c r="A206" s="33"/>
      <c r="B206" s="33"/>
      <c r="C206" s="33"/>
    </row>
    <row r="207" spans="1:3" x14ac:dyDescent="0.25">
      <c r="A207" s="33"/>
      <c r="B207" s="33"/>
      <c r="C207" s="33"/>
    </row>
    <row r="208" spans="1:3" x14ac:dyDescent="0.25">
      <c r="A208" s="33"/>
      <c r="B208" s="33"/>
      <c r="C208" s="33"/>
    </row>
    <row r="209" spans="1:3" x14ac:dyDescent="0.25">
      <c r="A209" s="33"/>
      <c r="B209" s="33"/>
      <c r="C209" s="33"/>
    </row>
    <row r="210" spans="1:3" x14ac:dyDescent="0.25">
      <c r="A210" s="33"/>
      <c r="B210" s="33"/>
      <c r="C210" s="33"/>
    </row>
    <row r="211" spans="1:3" x14ac:dyDescent="0.25">
      <c r="A211" s="33"/>
      <c r="B211" s="33"/>
      <c r="C211" s="33"/>
    </row>
    <row r="212" spans="1:3" x14ac:dyDescent="0.25">
      <c r="A212" s="33"/>
      <c r="B212" s="33"/>
      <c r="C212" s="33"/>
    </row>
    <row r="213" spans="1:3" x14ac:dyDescent="0.25">
      <c r="A213" s="33"/>
      <c r="B213" s="33"/>
      <c r="C213" s="33"/>
    </row>
    <row r="214" spans="1:3" x14ac:dyDescent="0.25">
      <c r="A214" s="33"/>
      <c r="B214" s="33"/>
      <c r="C214" s="33"/>
    </row>
    <row r="215" spans="1:3" x14ac:dyDescent="0.25">
      <c r="A215" s="33"/>
      <c r="B215" s="33"/>
      <c r="C215" s="33"/>
    </row>
    <row r="216" spans="1:3" x14ac:dyDescent="0.25">
      <c r="A216" s="33"/>
      <c r="B216" s="33"/>
      <c r="C216" s="33"/>
    </row>
    <row r="217" spans="1:3" x14ac:dyDescent="0.25">
      <c r="A217" s="33"/>
      <c r="B217" s="33"/>
    </row>
    <row r="218" spans="1:3" x14ac:dyDescent="0.25">
      <c r="A218" s="33"/>
      <c r="B218" s="33"/>
    </row>
    <row r="219" spans="1:3" x14ac:dyDescent="0.25">
      <c r="A219" s="33"/>
      <c r="B219" s="33"/>
    </row>
    <row r="220" spans="1:3" x14ac:dyDescent="0.25">
      <c r="A220" s="33"/>
    </row>
    <row r="221" spans="1:3" x14ac:dyDescent="0.25">
      <c r="A221" s="33"/>
    </row>
    <row r="222" spans="1:3" x14ac:dyDescent="0.25">
      <c r="A222" s="33"/>
    </row>
    <row r="223" spans="1:3" x14ac:dyDescent="0.25">
      <c r="A223" s="33"/>
    </row>
    <row r="224" spans="1:3" x14ac:dyDescent="0.25">
      <c r="A224" s="33"/>
    </row>
    <row r="225" spans="1:1" x14ac:dyDescent="0.25">
      <c r="A225" s="33"/>
    </row>
    <row r="226" spans="1:1" x14ac:dyDescent="0.25">
      <c r="A226" s="33"/>
    </row>
    <row r="227" spans="1:1" x14ac:dyDescent="0.25">
      <c r="A227" s="33"/>
    </row>
    <row r="228" spans="1:1" x14ac:dyDescent="0.25">
      <c r="A228" s="33"/>
    </row>
    <row r="229" spans="1:1" x14ac:dyDescent="0.25">
      <c r="A229" s="33"/>
    </row>
    <row r="230" spans="1:1" x14ac:dyDescent="0.25">
      <c r="A230" s="33"/>
    </row>
    <row r="231" spans="1:1" x14ac:dyDescent="0.25">
      <c r="A231" s="33"/>
    </row>
  </sheetData>
  <mergeCells count="2">
    <mergeCell ref="A72:A74"/>
    <mergeCell ref="A75:A7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07AC4-B025-47C3-A4E8-1F4FCB24038B}">
  <sheetPr>
    <tabColor rgb="FFC00000"/>
  </sheetPr>
  <dimension ref="A1:A3"/>
  <sheetViews>
    <sheetView workbookViewId="0">
      <selection activeCell="H6" sqref="H6"/>
    </sheetView>
  </sheetViews>
  <sheetFormatPr defaultColWidth="8.875" defaultRowHeight="14.3" x14ac:dyDescent="0.25"/>
  <cols>
    <col min="1" max="16384" width="8.875" style="33"/>
  </cols>
  <sheetData>
    <row r="1" spans="1:1" x14ac:dyDescent="0.25">
      <c r="A1" s="33" t="s">
        <v>451</v>
      </c>
    </row>
    <row r="2" spans="1:1" x14ac:dyDescent="0.25">
      <c r="A2" s="33" t="s">
        <v>452</v>
      </c>
    </row>
    <row r="3" spans="1:1" x14ac:dyDescent="0.25">
      <c r="A3" s="33" t="s">
        <v>453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C26A4-3008-498C-BF50-D4E7E8965AB5}">
  <sheetPr>
    <tabColor theme="9" tint="0.79998168889431442"/>
    <pageSetUpPr fitToPage="1"/>
  </sheetPr>
  <dimension ref="A1:V105"/>
  <sheetViews>
    <sheetView zoomScale="70" zoomScaleNormal="70" zoomScaleSheetLayoutView="100" workbookViewId="0">
      <pane xSplit="4" ySplit="2" topLeftCell="E3" activePane="bottomRight" state="frozen"/>
      <selection pane="topRight" activeCell="E1" sqref="E1"/>
      <selection pane="bottomLeft" activeCell="A3" sqref="A3"/>
      <selection pane="bottomRight" activeCell="C5" sqref="C5"/>
    </sheetView>
  </sheetViews>
  <sheetFormatPr defaultColWidth="8.875" defaultRowHeight="14.3" x14ac:dyDescent="0.25"/>
  <cols>
    <col min="1" max="1" width="10.25" style="101" bestFit="1" customWidth="1"/>
    <col min="2" max="2" width="5.375" style="101" bestFit="1" customWidth="1"/>
    <col min="3" max="3" width="52.5" style="103" bestFit="1" customWidth="1"/>
    <col min="4" max="4" width="49.625" style="165" customWidth="1"/>
    <col min="5" max="5" width="21.25" style="107" bestFit="1" customWidth="1"/>
    <col min="6" max="6" width="7.875" style="107" bestFit="1" customWidth="1"/>
    <col min="7" max="7" width="6.5" style="107" bestFit="1" customWidth="1"/>
    <col min="8" max="8" width="17.625" style="107" customWidth="1"/>
    <col min="9" max="9" width="27.5" style="107" bestFit="1" customWidth="1"/>
    <col min="10" max="10" width="10" style="101" bestFit="1" customWidth="1"/>
    <col min="11" max="11" width="20.125" style="107" bestFit="1" customWidth="1"/>
    <col min="12" max="12" width="7.25" style="107" customWidth="1"/>
    <col min="13" max="13" width="7.5" style="107" bestFit="1" customWidth="1"/>
    <col min="14" max="14" width="6.25" style="107" bestFit="1" customWidth="1"/>
    <col min="15" max="15" width="6.25" style="104" customWidth="1"/>
    <col min="16" max="16" width="3.875" style="110" customWidth="1"/>
    <col min="17" max="17" width="9.875" style="102" customWidth="1"/>
    <col min="18" max="18" width="7" style="102" customWidth="1"/>
    <col min="19" max="19" width="39.375" style="102" bestFit="1" customWidth="1"/>
    <col min="20" max="20" width="2.5" style="102" customWidth="1"/>
    <col min="21" max="21" width="5.5" style="102" customWidth="1"/>
    <col min="22" max="22" width="20.125" style="102" bestFit="1" customWidth="1"/>
    <col min="23" max="16384" width="8.875" style="102"/>
  </cols>
  <sheetData>
    <row r="1" spans="1:22" s="108" customFormat="1" ht="17" thickBot="1" x14ac:dyDescent="0.3">
      <c r="A1" s="112" t="s">
        <v>376</v>
      </c>
      <c r="B1" s="112" t="s">
        <v>197</v>
      </c>
      <c r="C1" s="112" t="s">
        <v>198</v>
      </c>
      <c r="D1" s="112" t="s">
        <v>199</v>
      </c>
      <c r="E1" s="112" t="s">
        <v>446</v>
      </c>
      <c r="F1" s="112" t="s">
        <v>16</v>
      </c>
      <c r="G1" s="112" t="s">
        <v>200</v>
      </c>
      <c r="H1" s="112" t="s">
        <v>201</v>
      </c>
      <c r="I1" s="112" t="s">
        <v>202</v>
      </c>
      <c r="J1" s="112" t="s">
        <v>360</v>
      </c>
      <c r="K1" s="112" t="s">
        <v>99</v>
      </c>
      <c r="L1" s="112" t="s">
        <v>203</v>
      </c>
      <c r="M1" s="112" t="s">
        <v>204</v>
      </c>
      <c r="N1" s="112" t="s">
        <v>205</v>
      </c>
      <c r="O1" s="176" t="s">
        <v>206</v>
      </c>
      <c r="P1" s="175"/>
      <c r="Q1" s="177" t="s">
        <v>307</v>
      </c>
      <c r="R1" s="125"/>
      <c r="S1" s="102" t="s">
        <v>391</v>
      </c>
      <c r="U1" s="127"/>
      <c r="V1" s="102" t="s">
        <v>352</v>
      </c>
    </row>
    <row r="2" spans="1:22" s="108" customFormat="1" ht="16.3" x14ac:dyDescent="0.25">
      <c r="A2" s="195" t="s">
        <v>379</v>
      </c>
      <c r="B2" s="195"/>
      <c r="C2" s="195"/>
      <c r="D2" s="195"/>
      <c r="E2" s="195"/>
      <c r="F2" s="195"/>
      <c r="G2" s="195"/>
      <c r="H2" s="195"/>
      <c r="I2" s="195"/>
      <c r="J2" s="195"/>
      <c r="K2" s="195"/>
      <c r="L2" s="195"/>
      <c r="M2" s="195"/>
      <c r="N2" s="195"/>
      <c r="O2" s="195"/>
      <c r="P2" s="175"/>
      <c r="R2" s="145"/>
      <c r="S2" s="103" t="s">
        <v>392</v>
      </c>
      <c r="U2" s="126"/>
      <c r="V2" s="102" t="s">
        <v>308</v>
      </c>
    </row>
    <row r="3" spans="1:22" s="108" customFormat="1" ht="28.55" x14ac:dyDescent="0.25">
      <c r="A3" s="106">
        <v>1</v>
      </c>
      <c r="B3" s="106">
        <v>1</v>
      </c>
      <c r="C3" s="103" t="s">
        <v>381</v>
      </c>
      <c r="D3" s="163" t="s">
        <v>382</v>
      </c>
      <c r="E3" s="101"/>
      <c r="F3" s="101" t="s">
        <v>175</v>
      </c>
      <c r="G3" s="101" t="s">
        <v>228</v>
      </c>
      <c r="H3" s="101"/>
      <c r="I3" s="101" t="s">
        <v>384</v>
      </c>
      <c r="J3" s="101"/>
      <c r="K3" s="144"/>
      <c r="L3" s="101">
        <v>1</v>
      </c>
      <c r="M3" s="101">
        <v>1</v>
      </c>
      <c r="N3" s="101">
        <v>0</v>
      </c>
      <c r="O3" s="103"/>
      <c r="P3" s="178"/>
    </row>
    <row r="4" spans="1:22" s="108" customFormat="1" ht="28.55" x14ac:dyDescent="0.25">
      <c r="A4" s="166">
        <f>A3+1</f>
        <v>2</v>
      </c>
      <c r="B4" s="106">
        <f>B3</f>
        <v>1</v>
      </c>
      <c r="C4" s="103" t="s">
        <v>385</v>
      </c>
      <c r="D4" s="163" t="s">
        <v>386</v>
      </c>
      <c r="E4" s="101"/>
      <c r="F4" s="101" t="s">
        <v>175</v>
      </c>
      <c r="G4" s="101" t="s">
        <v>210</v>
      </c>
      <c r="H4" s="182">
        <v>2021</v>
      </c>
      <c r="I4" s="101"/>
      <c r="J4" s="101"/>
      <c r="K4" s="125"/>
      <c r="L4" s="101">
        <v>1</v>
      </c>
      <c r="M4" s="101">
        <v>1</v>
      </c>
      <c r="N4" s="101">
        <v>0</v>
      </c>
      <c r="O4" s="103"/>
      <c r="P4" s="178"/>
    </row>
    <row r="5" spans="1:22" s="108" customFormat="1" ht="28.55" x14ac:dyDescent="0.25">
      <c r="A5" s="166">
        <f>A4+1</f>
        <v>3</v>
      </c>
      <c r="B5" s="106">
        <f>B4</f>
        <v>1</v>
      </c>
      <c r="C5" s="143" t="s">
        <v>380</v>
      </c>
      <c r="D5" s="163" t="s">
        <v>390</v>
      </c>
      <c r="E5" s="106"/>
      <c r="F5" s="106" t="s">
        <v>175</v>
      </c>
      <c r="G5" s="101" t="s">
        <v>228</v>
      </c>
      <c r="H5" s="175" t="s">
        <v>358</v>
      </c>
      <c r="I5" s="106" t="s">
        <v>393</v>
      </c>
      <c r="J5" s="106"/>
      <c r="K5" s="146"/>
      <c r="L5" s="106">
        <v>1</v>
      </c>
      <c r="M5" s="106">
        <v>1</v>
      </c>
      <c r="N5" s="106">
        <v>0</v>
      </c>
      <c r="O5" s="141"/>
      <c r="P5" s="178"/>
    </row>
    <row r="6" spans="1:22" s="108" customFormat="1" ht="16.3" x14ac:dyDescent="0.25">
      <c r="A6" s="166">
        <f t="shared" ref="A6" si="0">A5+1</f>
        <v>4</v>
      </c>
      <c r="B6" s="106">
        <f t="shared" ref="B6" si="1">B5</f>
        <v>1</v>
      </c>
      <c r="C6" s="143" t="s">
        <v>394</v>
      </c>
      <c r="D6" s="163" t="s">
        <v>395</v>
      </c>
      <c r="E6" s="106"/>
      <c r="F6" s="106" t="s">
        <v>175</v>
      </c>
      <c r="G6" s="101" t="s">
        <v>228</v>
      </c>
      <c r="H6" s="101"/>
      <c r="J6" s="106"/>
      <c r="K6" s="148"/>
      <c r="L6" s="106">
        <v>1</v>
      </c>
      <c r="M6" s="106">
        <v>1</v>
      </c>
      <c r="N6" s="106">
        <v>0</v>
      </c>
      <c r="O6" s="141"/>
      <c r="P6" s="178"/>
    </row>
    <row r="7" spans="1:22" s="109" customFormat="1" x14ac:dyDescent="0.25">
      <c r="A7" s="190" t="s">
        <v>216</v>
      </c>
      <c r="B7" s="190"/>
      <c r="C7" s="190"/>
      <c r="D7" s="190"/>
      <c r="E7" s="190"/>
      <c r="F7" s="190"/>
      <c r="G7" s="190"/>
      <c r="H7" s="190"/>
      <c r="I7" s="190"/>
      <c r="J7" s="190"/>
      <c r="K7" s="190"/>
      <c r="L7" s="190"/>
      <c r="M7" s="190"/>
      <c r="N7" s="190"/>
      <c r="O7" s="190"/>
      <c r="P7" s="175"/>
    </row>
    <row r="8" spans="1:22" x14ac:dyDescent="0.25">
      <c r="A8" s="101">
        <f>A6+1</f>
        <v>5</v>
      </c>
      <c r="B8" s="101">
        <f>B6+1</f>
        <v>2</v>
      </c>
      <c r="C8" s="116" t="s">
        <v>207</v>
      </c>
      <c r="D8" s="163" t="s">
        <v>208</v>
      </c>
      <c r="E8" s="106" t="s">
        <v>209</v>
      </c>
      <c r="F8" s="106" t="s">
        <v>176</v>
      </c>
      <c r="G8" s="106" t="s">
        <v>210</v>
      </c>
      <c r="H8" s="106"/>
      <c r="I8" s="106"/>
      <c r="J8" s="106"/>
      <c r="K8" s="133"/>
      <c r="L8" s="106">
        <v>1</v>
      </c>
      <c r="M8" s="106">
        <v>1</v>
      </c>
      <c r="N8" s="106">
        <f>IF(OR(K8&gt;15000000,K8&lt;=0),2,0)</f>
        <v>2</v>
      </c>
      <c r="O8" s="141" t="str">
        <f>IF(AND(N8=2,K8&gt;15000000),"Controlla il valore inserito perché risulta troppo elevato.",IF(AND(N8=2,K8&lt;=0),"Controlla il valore inserito: non è ammissibile un valore nullo o negativo.",))</f>
        <v>Controlla il valore inserito: non è ammissibile un valore nullo o negativo.</v>
      </c>
    </row>
    <row r="9" spans="1:22" x14ac:dyDescent="0.25">
      <c r="A9" s="101">
        <f>A8+1</f>
        <v>6</v>
      </c>
      <c r="B9" s="101">
        <f>B8</f>
        <v>2</v>
      </c>
      <c r="C9" s="116" t="s">
        <v>211</v>
      </c>
      <c r="D9" s="163" t="s">
        <v>212</v>
      </c>
      <c r="E9" s="106" t="s">
        <v>209</v>
      </c>
      <c r="F9" s="106" t="s">
        <v>176</v>
      </c>
      <c r="G9" s="106" t="s">
        <v>210</v>
      </c>
      <c r="H9" s="106"/>
      <c r="I9" s="106"/>
      <c r="J9" s="106"/>
      <c r="K9" s="133"/>
      <c r="L9" s="106">
        <v>1</v>
      </c>
      <c r="M9" s="106">
        <v>1</v>
      </c>
      <c r="N9" s="106">
        <f>IF(OR(K9&gt;10000000,K9&lt;0),2,0)</f>
        <v>0</v>
      </c>
      <c r="O9" s="174">
        <f>IF(AND(N9=2,K9&gt;10000000), "Controlla il valore inserito perché risulta troppo elevato.",IF(AND(N9=2,K9&lt;0),"Controlla il valore inserito non è ammissibile un valore negativo.",))</f>
        <v>0</v>
      </c>
    </row>
    <row r="10" spans="1:22" x14ac:dyDescent="0.25">
      <c r="A10" s="101">
        <f t="shared" ref="A10:A17" si="2">A9+1</f>
        <v>7</v>
      </c>
      <c r="B10" s="101">
        <f t="shared" ref="B10:B17" si="3">B9</f>
        <v>2</v>
      </c>
      <c r="C10" s="116" t="s">
        <v>213</v>
      </c>
      <c r="D10" s="163"/>
      <c r="E10" s="106" t="s">
        <v>209</v>
      </c>
      <c r="F10" s="106" t="s">
        <v>176</v>
      </c>
      <c r="G10" s="106" t="s">
        <v>210</v>
      </c>
      <c r="H10" s="106"/>
      <c r="I10" s="106"/>
      <c r="J10" s="106"/>
      <c r="K10" s="134">
        <f>SUM(K8:K9)</f>
        <v>0</v>
      </c>
      <c r="L10" s="106">
        <v>0</v>
      </c>
      <c r="M10" s="106">
        <v>0</v>
      </c>
      <c r="N10" s="106">
        <v>0</v>
      </c>
      <c r="O10" s="141"/>
    </row>
    <row r="11" spans="1:22" x14ac:dyDescent="0.25">
      <c r="A11" s="101">
        <f t="shared" si="2"/>
        <v>8</v>
      </c>
      <c r="B11" s="101">
        <f t="shared" si="3"/>
        <v>2</v>
      </c>
      <c r="C11" s="116" t="s">
        <v>214</v>
      </c>
      <c r="D11" s="163" t="s">
        <v>215</v>
      </c>
      <c r="E11" s="106" t="s">
        <v>209</v>
      </c>
      <c r="F11" s="106" t="s">
        <v>176</v>
      </c>
      <c r="G11" s="106" t="s">
        <v>210</v>
      </c>
      <c r="H11" s="106"/>
      <c r="I11" s="106"/>
      <c r="J11" s="106"/>
      <c r="K11" s="133"/>
      <c r="L11" s="106">
        <v>1</v>
      </c>
      <c r="M11" s="106">
        <v>1</v>
      </c>
      <c r="N11" s="106">
        <f>IF(OR(K11&gt;K8,K11&lt;0),2,0)</f>
        <v>0</v>
      </c>
      <c r="O11" s="141">
        <f>IF(AND(N11=2,K11&gt;K8),"Controlla il valore inserito perché risulta troppo elevato.",IF(AND(N11=2,K11&lt;0),"Controlla il valore inserito non è ammissibile un valore negativo.",))</f>
        <v>0</v>
      </c>
    </row>
    <row r="12" spans="1:22" ht="28.55" x14ac:dyDescent="0.25">
      <c r="A12" s="101">
        <f t="shared" si="2"/>
        <v>9</v>
      </c>
      <c r="B12" s="101">
        <f t="shared" si="3"/>
        <v>2</v>
      </c>
      <c r="C12" s="116" t="s">
        <v>217</v>
      </c>
      <c r="D12" s="163" t="s">
        <v>218</v>
      </c>
      <c r="E12" s="106" t="s">
        <v>209</v>
      </c>
      <c r="F12" s="106" t="s">
        <v>176</v>
      </c>
      <c r="G12" s="106" t="s">
        <v>210</v>
      </c>
      <c r="H12" s="175">
        <v>0</v>
      </c>
      <c r="I12" s="106"/>
      <c r="J12" s="106"/>
      <c r="K12" s="133"/>
      <c r="L12" s="106">
        <f>IF(K11&gt;0,1,0)</f>
        <v>0</v>
      </c>
      <c r="M12" s="106">
        <f>IF(K11&gt;0,1,0)</f>
        <v>0</v>
      </c>
      <c r="N12" s="106">
        <f>IF(OR(K12&gt;K9,K12&lt;0),2,0)</f>
        <v>0</v>
      </c>
      <c r="O12" s="141">
        <f>IF(AND(N12=2,K12&gt;K9),"Controlla il valore inserito perché risulta troppo elevato.",IF(AND(N12=2,K12&lt;0),"Controlla il valore inserito non è ammissibile un valore negativo.",))</f>
        <v>0</v>
      </c>
      <c r="Q12" s="110"/>
    </row>
    <row r="13" spans="1:22" x14ac:dyDescent="0.25">
      <c r="A13" s="101">
        <f t="shared" si="2"/>
        <v>10</v>
      </c>
      <c r="B13" s="101">
        <f t="shared" si="3"/>
        <v>2</v>
      </c>
      <c r="C13" s="116" t="s">
        <v>219</v>
      </c>
      <c r="D13" s="163"/>
      <c r="E13" s="106" t="s">
        <v>209</v>
      </c>
      <c r="F13" s="106" t="s">
        <v>176</v>
      </c>
      <c r="G13" s="106" t="s">
        <v>210</v>
      </c>
      <c r="H13" s="175"/>
      <c r="I13" s="106"/>
      <c r="J13" s="106"/>
      <c r="K13" s="134">
        <f>SUM(K11:K12)</f>
        <v>0</v>
      </c>
      <c r="L13" s="106">
        <v>0</v>
      </c>
      <c r="M13" s="106">
        <v>0</v>
      </c>
      <c r="N13" s="106">
        <v>0</v>
      </c>
      <c r="O13" s="141"/>
      <c r="Q13" s="110"/>
    </row>
    <row r="14" spans="1:22" ht="28.55" x14ac:dyDescent="0.25">
      <c r="A14" s="101">
        <f t="shared" si="2"/>
        <v>11</v>
      </c>
      <c r="B14" s="101">
        <f t="shared" si="3"/>
        <v>2</v>
      </c>
      <c r="C14" s="116" t="s">
        <v>220</v>
      </c>
      <c r="D14" s="163" t="s">
        <v>221</v>
      </c>
      <c r="E14" s="106" t="s">
        <v>209</v>
      </c>
      <c r="F14" s="106" t="s">
        <v>176</v>
      </c>
      <c r="G14" s="106" t="s">
        <v>210</v>
      </c>
      <c r="H14" s="175"/>
      <c r="I14" s="106"/>
      <c r="J14" s="106"/>
      <c r="K14" s="133"/>
      <c r="L14" s="106">
        <v>1</v>
      </c>
      <c r="M14" s="106">
        <v>1</v>
      </c>
      <c r="N14" s="106">
        <f>IF(OR(K14&gt;5000000,K14&lt;0),2,0)</f>
        <v>0</v>
      </c>
      <c r="O14" s="141">
        <f>IF(AND(N14=2,K14&gt;5000000),"Controlla il valore inserito perché risulta troppo elevato.",IF(AND(N14=2,K14&lt;0),"Controlla il valore inserito non è ammissibile un valore negativo.",))</f>
        <v>0</v>
      </c>
    </row>
    <row r="15" spans="1:22" x14ac:dyDescent="0.25">
      <c r="A15" s="101">
        <f t="shared" si="2"/>
        <v>12</v>
      </c>
      <c r="B15" s="101">
        <f t="shared" si="3"/>
        <v>2</v>
      </c>
      <c r="C15" s="174" t="s">
        <v>222</v>
      </c>
      <c r="D15" s="163"/>
      <c r="E15" s="106" t="s">
        <v>223</v>
      </c>
      <c r="F15" s="106" t="s">
        <v>175</v>
      </c>
      <c r="G15" s="106" t="s">
        <v>224</v>
      </c>
      <c r="H15" s="175"/>
      <c r="I15" s="106"/>
      <c r="J15" s="106"/>
      <c r="K15" s="123" t="e">
        <f>K14/K10</f>
        <v>#DIV/0!</v>
      </c>
      <c r="L15" s="106">
        <v>0</v>
      </c>
      <c r="M15" s="106">
        <v>0</v>
      </c>
      <c r="N15" s="106">
        <v>0</v>
      </c>
      <c r="O15" s="141"/>
    </row>
    <row r="16" spans="1:22" x14ac:dyDescent="0.25">
      <c r="A16" s="101">
        <f t="shared" si="2"/>
        <v>13</v>
      </c>
      <c r="B16" s="101">
        <f t="shared" si="3"/>
        <v>2</v>
      </c>
      <c r="C16" s="116" t="s">
        <v>225</v>
      </c>
      <c r="D16" s="163" t="s">
        <v>195</v>
      </c>
      <c r="E16" s="106"/>
      <c r="F16" s="106" t="s">
        <v>175</v>
      </c>
      <c r="G16" s="106" t="s">
        <v>228</v>
      </c>
      <c r="H16" s="175" t="s">
        <v>181</v>
      </c>
      <c r="I16" s="106" t="s">
        <v>356</v>
      </c>
      <c r="J16" s="106"/>
      <c r="K16" s="146"/>
      <c r="L16" s="106">
        <f>IF(K14=0,0,1)</f>
        <v>0</v>
      </c>
      <c r="M16" s="106">
        <f>IF(K14=0,0,1)</f>
        <v>0</v>
      </c>
      <c r="N16" s="106">
        <v>0</v>
      </c>
      <c r="O16" s="141"/>
    </row>
    <row r="17" spans="1:15" x14ac:dyDescent="0.25">
      <c r="A17" s="168">
        <f t="shared" si="2"/>
        <v>14</v>
      </c>
      <c r="B17" s="113">
        <f t="shared" si="3"/>
        <v>2</v>
      </c>
      <c r="C17" s="114" t="s">
        <v>227</v>
      </c>
      <c r="D17" s="149"/>
      <c r="E17" s="113" t="s">
        <v>179</v>
      </c>
      <c r="F17" s="113" t="s">
        <v>175</v>
      </c>
      <c r="G17" s="113" t="s">
        <v>224</v>
      </c>
      <c r="H17" s="183">
        <v>1</v>
      </c>
      <c r="I17" s="113"/>
      <c r="J17" s="113"/>
      <c r="K17" s="155">
        <f>IF(J16='Destino scarto alimentare'!A3,1/(1+K15),H17)</f>
        <v>1</v>
      </c>
      <c r="L17" s="113">
        <v>0</v>
      </c>
      <c r="M17" s="113">
        <v>0</v>
      </c>
      <c r="N17" s="113">
        <v>0</v>
      </c>
      <c r="O17" s="114"/>
    </row>
    <row r="18" spans="1:15" s="110" customFormat="1" x14ac:dyDescent="0.25">
      <c r="A18" s="190" t="s">
        <v>241</v>
      </c>
      <c r="B18" s="191"/>
      <c r="C18" s="190"/>
      <c r="D18" s="190"/>
      <c r="E18" s="190"/>
      <c r="F18" s="190"/>
      <c r="G18" s="190"/>
      <c r="H18" s="190"/>
      <c r="I18" s="190"/>
      <c r="J18" s="190"/>
      <c r="K18" s="190"/>
      <c r="L18" s="190"/>
      <c r="M18" s="190"/>
      <c r="N18" s="190"/>
      <c r="O18" s="190"/>
    </row>
    <row r="19" spans="1:15" s="110" customFormat="1" ht="28.55" x14ac:dyDescent="0.25">
      <c r="A19" s="106">
        <f>A17+1</f>
        <v>15</v>
      </c>
      <c r="B19" s="175">
        <f>B17+1</f>
        <v>3</v>
      </c>
      <c r="C19" s="105" t="s">
        <v>398</v>
      </c>
      <c r="D19" s="163" t="s">
        <v>231</v>
      </c>
      <c r="E19" s="106" t="s">
        <v>232</v>
      </c>
      <c r="F19" s="106" t="s">
        <v>176</v>
      </c>
      <c r="G19" s="106" t="s">
        <v>210</v>
      </c>
      <c r="H19" s="151"/>
      <c r="I19" s="106"/>
      <c r="J19" s="106"/>
      <c r="K19" s="133"/>
      <c r="L19" s="106">
        <v>1</v>
      </c>
      <c r="M19" s="106">
        <v>1</v>
      </c>
      <c r="N19" s="106">
        <f>IF(OR(K19&gt;15000000,K19&lt;=0),2,0)</f>
        <v>2</v>
      </c>
      <c r="O19" s="143" t="str">
        <f>IF(AND(N19=2,K19&gt;15000000),"Controlla il valore inserito perché risulta troppo elevato.",IF(AND(N19=2,K19&lt;=0),"Controlla il valore inserito: non è ammissibile un valore nullo o negativo.",))</f>
        <v>Controlla il valore inserito: non è ammissibile un valore nullo o negativo.</v>
      </c>
    </row>
    <row r="20" spans="1:15" s="110" customFormat="1" x14ac:dyDescent="0.25">
      <c r="A20" s="106">
        <f>A19+1</f>
        <v>16</v>
      </c>
      <c r="B20" s="106">
        <f>B19</f>
        <v>3</v>
      </c>
      <c r="C20" s="174" t="s">
        <v>399</v>
      </c>
      <c r="D20" s="163"/>
      <c r="E20" s="106" t="s">
        <v>233</v>
      </c>
      <c r="F20" s="106" t="s">
        <v>175</v>
      </c>
      <c r="G20" s="106" t="s">
        <v>224</v>
      </c>
      <c r="H20" s="152"/>
      <c r="I20" s="106"/>
      <c r="J20" s="106"/>
      <c r="K20" s="123" t="e">
        <f>K19*$K$17/K10</f>
        <v>#DIV/0!</v>
      </c>
      <c r="L20" s="106">
        <v>0</v>
      </c>
      <c r="M20" s="106">
        <v>0</v>
      </c>
      <c r="N20" s="106">
        <v>0</v>
      </c>
      <c r="O20" s="147"/>
    </row>
    <row r="21" spans="1:15" s="110" customFormat="1" x14ac:dyDescent="0.25">
      <c r="A21" s="106">
        <f t="shared" ref="A21:A23" si="4">A20+1</f>
        <v>17</v>
      </c>
      <c r="B21" s="106">
        <f t="shared" ref="B21:B64" si="5">B20</f>
        <v>3</v>
      </c>
      <c r="C21" s="174" t="s">
        <v>400</v>
      </c>
      <c r="D21" s="163" t="s">
        <v>192</v>
      </c>
      <c r="E21" s="106"/>
      <c r="F21" s="106" t="s">
        <v>176</v>
      </c>
      <c r="G21" s="106" t="s">
        <v>226</v>
      </c>
      <c r="H21" s="106"/>
      <c r="I21" s="101"/>
      <c r="J21" s="101"/>
      <c r="K21" s="146"/>
      <c r="L21" s="106">
        <v>1</v>
      </c>
      <c r="M21" s="106">
        <v>1</v>
      </c>
      <c r="N21" s="106">
        <v>0</v>
      </c>
      <c r="O21" s="141"/>
    </row>
    <row r="22" spans="1:15" s="110" customFormat="1" ht="28.55" x14ac:dyDescent="0.25">
      <c r="A22" s="106">
        <f t="shared" si="4"/>
        <v>18</v>
      </c>
      <c r="B22" s="106">
        <f t="shared" si="5"/>
        <v>3</v>
      </c>
      <c r="C22" s="174" t="s">
        <v>401</v>
      </c>
      <c r="D22" s="163" t="s">
        <v>193</v>
      </c>
      <c r="E22" s="106"/>
      <c r="F22" s="106" t="s">
        <v>176</v>
      </c>
      <c r="G22" s="106" t="s">
        <v>226</v>
      </c>
      <c r="H22" s="175" t="s">
        <v>176</v>
      </c>
      <c r="I22" s="101"/>
      <c r="J22" s="101"/>
      <c r="K22" s="146"/>
      <c r="L22" s="106">
        <f>IF(K21="Sì",1,0)</f>
        <v>0</v>
      </c>
      <c r="M22" s="172">
        <f>IF(K21="Sì",1,0)</f>
        <v>0</v>
      </c>
      <c r="N22" s="106">
        <v>0</v>
      </c>
      <c r="O22" s="141"/>
    </row>
    <row r="23" spans="1:15" s="110" customFormat="1" ht="28.55" x14ac:dyDescent="0.25">
      <c r="A23" s="106">
        <f t="shared" si="4"/>
        <v>19</v>
      </c>
      <c r="B23" s="106">
        <f t="shared" si="5"/>
        <v>3</v>
      </c>
      <c r="C23" s="174" t="s">
        <v>402</v>
      </c>
      <c r="D23" s="163" t="s">
        <v>234</v>
      </c>
      <c r="E23" s="106" t="s">
        <v>232</v>
      </c>
      <c r="F23" s="106" t="s">
        <v>176</v>
      </c>
      <c r="G23" s="106" t="s">
        <v>210</v>
      </c>
      <c r="H23" s="184">
        <v>0</v>
      </c>
      <c r="I23" s="106"/>
      <c r="J23" s="106"/>
      <c r="K23" s="133"/>
      <c r="L23" s="106">
        <f>IF(K22="Sì",1,0)</f>
        <v>0</v>
      </c>
      <c r="M23" s="172">
        <f>IF(K22="Sì",1,0)</f>
        <v>0</v>
      </c>
      <c r="N23" s="106">
        <f>IF(OR(K23&gt;15000000,K23&lt;=0),2,0)</f>
        <v>2</v>
      </c>
      <c r="O23" s="141" t="str">
        <f>IF(AND(N23=2,K23&gt;15000000),"Controlla il valore inserito perché risulta troppo elevato.",IF(AND(N23=2,K23&lt;=0),"Controlla il valore inserito: non è ammissibile un valore nullo o negativo.",))</f>
        <v>Controlla il valore inserito: non è ammissibile un valore nullo o negativo.</v>
      </c>
    </row>
    <row r="24" spans="1:15" s="110" customFormat="1" x14ac:dyDescent="0.25">
      <c r="A24" s="106">
        <f>A23+1</f>
        <v>20</v>
      </c>
      <c r="B24" s="106">
        <f t="shared" si="5"/>
        <v>3</v>
      </c>
      <c r="C24" s="174" t="s">
        <v>403</v>
      </c>
      <c r="D24" s="163"/>
      <c r="E24" s="106" t="s">
        <v>233</v>
      </c>
      <c r="F24" s="106" t="s">
        <v>175</v>
      </c>
      <c r="G24" s="106" t="s">
        <v>224</v>
      </c>
      <c r="H24" s="175"/>
      <c r="I24" s="106"/>
      <c r="J24" s="106"/>
      <c r="K24" s="123">
        <f>IF(K22="Sì",K23*$K$17/K10,H23)</f>
        <v>0</v>
      </c>
      <c r="L24" s="106">
        <v>0</v>
      </c>
      <c r="M24" s="106">
        <v>0</v>
      </c>
      <c r="N24" s="106">
        <v>0</v>
      </c>
      <c r="O24" s="141"/>
    </row>
    <row r="25" spans="1:15" s="110" customFormat="1" x14ac:dyDescent="0.25">
      <c r="A25" s="106">
        <f>A24+1</f>
        <v>21</v>
      </c>
      <c r="B25" s="106">
        <f>B24</f>
        <v>3</v>
      </c>
      <c r="C25" s="174" t="s">
        <v>397</v>
      </c>
      <c r="D25" s="163" t="s">
        <v>235</v>
      </c>
      <c r="E25" s="106" t="s">
        <v>236</v>
      </c>
      <c r="F25" s="106" t="s">
        <v>176</v>
      </c>
      <c r="G25" s="106" t="s">
        <v>210</v>
      </c>
      <c r="H25" s="175"/>
      <c r="I25" s="106"/>
      <c r="J25" s="106"/>
      <c r="K25" s="133"/>
      <c r="L25" s="106">
        <v>1</v>
      </c>
      <c r="M25" s="106">
        <v>1</v>
      </c>
      <c r="N25" s="106">
        <f>IF(OR(K25&gt;10000000,K25&lt;0),2,0)</f>
        <v>0</v>
      </c>
      <c r="O25" s="141">
        <f>IF(AND(N25=2,K25&gt;10000000),"Controlla il valore inserito perché risulta troppo elevato.",IF(AND(N25=2,K25&lt;0),"Controlla il valore inserito: non è ammissibile un valore negativo.",))</f>
        <v>0</v>
      </c>
    </row>
    <row r="26" spans="1:15" s="110" customFormat="1" x14ac:dyDescent="0.25">
      <c r="A26" s="166">
        <f t="shared" ref="A26:A41" si="6">A25+1</f>
        <v>22</v>
      </c>
      <c r="B26" s="106">
        <f t="shared" si="5"/>
        <v>3</v>
      </c>
      <c r="C26" s="174" t="s">
        <v>237</v>
      </c>
      <c r="D26" s="163"/>
      <c r="E26" s="106" t="s">
        <v>238</v>
      </c>
      <c r="F26" s="106" t="s">
        <v>176</v>
      </c>
      <c r="G26" s="106" t="s">
        <v>224</v>
      </c>
      <c r="H26" s="186">
        <v>33.39</v>
      </c>
      <c r="I26" s="106"/>
      <c r="J26" s="106"/>
      <c r="K26" s="106"/>
      <c r="L26" s="106">
        <v>0</v>
      </c>
      <c r="M26" s="106">
        <v>0</v>
      </c>
      <c r="N26" s="106">
        <v>0</v>
      </c>
      <c r="O26" s="141"/>
    </row>
    <row r="27" spans="1:15" s="110" customFormat="1" x14ac:dyDescent="0.25">
      <c r="A27" s="166">
        <f t="shared" si="6"/>
        <v>23</v>
      </c>
      <c r="B27" s="106">
        <f t="shared" si="5"/>
        <v>3</v>
      </c>
      <c r="C27" s="174" t="s">
        <v>239</v>
      </c>
      <c r="D27" s="163"/>
      <c r="E27" s="106" t="s">
        <v>240</v>
      </c>
      <c r="F27" s="106" t="s">
        <v>175</v>
      </c>
      <c r="G27" s="106" t="s">
        <v>224</v>
      </c>
      <c r="H27" s="117"/>
      <c r="I27" s="106"/>
      <c r="J27" s="154"/>
      <c r="K27" s="123" t="e">
        <f>K25*H26*$K$17/K10</f>
        <v>#DIV/0!</v>
      </c>
      <c r="L27" s="106">
        <v>0</v>
      </c>
      <c r="M27" s="106">
        <v>0</v>
      </c>
      <c r="N27" s="106">
        <v>0</v>
      </c>
      <c r="O27" s="141"/>
    </row>
    <row r="28" spans="1:15" s="110" customFormat="1" x14ac:dyDescent="0.25">
      <c r="A28" s="166">
        <f t="shared" si="6"/>
        <v>24</v>
      </c>
      <c r="B28" s="106">
        <f t="shared" si="5"/>
        <v>3</v>
      </c>
      <c r="C28" s="174" t="s">
        <v>182</v>
      </c>
      <c r="D28" s="163" t="s">
        <v>242</v>
      </c>
      <c r="E28" s="106" t="s">
        <v>209</v>
      </c>
      <c r="F28" s="106" t="s">
        <v>176</v>
      </c>
      <c r="G28" s="106" t="s">
        <v>210</v>
      </c>
      <c r="H28" s="117"/>
      <c r="I28" s="106"/>
      <c r="J28" s="106"/>
      <c r="K28" s="133"/>
      <c r="L28" s="106">
        <v>1</v>
      </c>
      <c r="M28" s="106">
        <v>1</v>
      </c>
      <c r="N28" s="106">
        <f>IF(OR(K28&gt;200000000,K28&lt;0),2,0)</f>
        <v>0</v>
      </c>
      <c r="O28" s="153">
        <f>IF(AND(N28=2,K28&gt;200000000),"Controlla il valore inserito perché risulta troppo elevato.",IF(AND(N28=2,K28&lt;0),"Controlla il valore inserito: non è ammissibile un valore negativo.",))</f>
        <v>0</v>
      </c>
    </row>
    <row r="29" spans="1:15" s="110" customFormat="1" ht="42.8" x14ac:dyDescent="0.25">
      <c r="A29" s="166">
        <f t="shared" si="6"/>
        <v>25</v>
      </c>
      <c r="B29" s="106">
        <f t="shared" si="5"/>
        <v>3</v>
      </c>
      <c r="C29" s="174" t="s">
        <v>247</v>
      </c>
      <c r="D29" s="163" t="s">
        <v>407</v>
      </c>
      <c r="E29" s="106"/>
      <c r="F29" s="106" t="s">
        <v>176</v>
      </c>
      <c r="G29" s="106" t="s">
        <v>357</v>
      </c>
      <c r="H29" s="117"/>
      <c r="I29" s="101" t="s">
        <v>373</v>
      </c>
      <c r="J29" s="101"/>
      <c r="K29" s="146"/>
      <c r="L29" s="106">
        <v>1</v>
      </c>
      <c r="M29" s="106">
        <v>1</v>
      </c>
      <c r="N29" s="106">
        <v>0</v>
      </c>
      <c r="O29" s="153"/>
    </row>
    <row r="30" spans="1:15" s="110" customFormat="1" ht="28.55" x14ac:dyDescent="0.25">
      <c r="A30" s="166">
        <f t="shared" si="6"/>
        <v>26</v>
      </c>
      <c r="B30" s="106">
        <f t="shared" si="5"/>
        <v>3</v>
      </c>
      <c r="C30" s="174" t="s">
        <v>244</v>
      </c>
      <c r="D30" s="163" t="s">
        <v>245</v>
      </c>
      <c r="E30" s="106" t="s">
        <v>246</v>
      </c>
      <c r="F30" s="106" t="s">
        <v>176</v>
      </c>
      <c r="G30" s="106" t="s">
        <v>210</v>
      </c>
      <c r="H30" s="175">
        <v>0</v>
      </c>
      <c r="I30" s="106"/>
      <c r="J30" s="164"/>
      <c r="K30" s="133"/>
      <c r="L30" s="106">
        <f>IF(ISERROR(FIND('Gas refrigeranti'!A3,$J$29)),0,1)</f>
        <v>0</v>
      </c>
      <c r="M30" s="106">
        <f>IF(ISERROR(FIND('Gas refrigeranti'!A3,$J$29)),0,1)</f>
        <v>0</v>
      </c>
      <c r="N30" s="106">
        <f>IF(OR(K30&gt;5000,K30&lt;0),2,0)</f>
        <v>0</v>
      </c>
      <c r="O30" s="153">
        <f>IF(AND(N30=2,K30&gt;5000),"Controlla il valore inserito perché risulta troppo elevato.",IF(AND(N30=2,K30&lt;0),"Controlla il valore inserito: non è ammissibile un valore negativo.",))</f>
        <v>0</v>
      </c>
    </row>
    <row r="31" spans="1:15" s="110" customFormat="1" x14ac:dyDescent="0.25">
      <c r="A31" s="166">
        <f t="shared" si="6"/>
        <v>27</v>
      </c>
      <c r="B31" s="106">
        <f t="shared" si="5"/>
        <v>3</v>
      </c>
      <c r="C31" s="174" t="s">
        <v>250</v>
      </c>
      <c r="D31" s="163"/>
      <c r="E31" s="106" t="s">
        <v>223</v>
      </c>
      <c r="F31" s="106" t="s">
        <v>175</v>
      </c>
      <c r="G31" s="106" t="s">
        <v>224</v>
      </c>
      <c r="H31" s="175"/>
      <c r="I31" s="106"/>
      <c r="J31" s="164"/>
      <c r="K31" s="123">
        <f>IF(ISERROR(FIND('Gas refrigeranti'!$A3,$J$29)),H30,(K30*$K$17/5)/$K$10)</f>
        <v>0</v>
      </c>
      <c r="L31" s="106">
        <v>0</v>
      </c>
      <c r="M31" s="106">
        <v>0</v>
      </c>
      <c r="N31" s="106">
        <v>0</v>
      </c>
      <c r="O31" s="141"/>
    </row>
    <row r="32" spans="1:15" s="110" customFormat="1" x14ac:dyDescent="0.25">
      <c r="A32" s="166">
        <f t="shared" si="6"/>
        <v>28</v>
      </c>
      <c r="B32" s="106">
        <f t="shared" si="5"/>
        <v>3</v>
      </c>
      <c r="C32" s="174" t="s">
        <v>248</v>
      </c>
      <c r="D32" s="163" t="s">
        <v>249</v>
      </c>
      <c r="E32" s="106" t="s">
        <v>229</v>
      </c>
      <c r="F32" s="106" t="s">
        <v>176</v>
      </c>
      <c r="G32" s="106" t="s">
        <v>224</v>
      </c>
      <c r="H32" s="175">
        <v>0</v>
      </c>
      <c r="I32" s="106"/>
      <c r="J32" s="106"/>
      <c r="K32" s="133"/>
      <c r="L32" s="106">
        <f>IF(ISERROR(FIND('Gas refrigeranti'!A3,$J$29)),0,1)</f>
        <v>0</v>
      </c>
      <c r="M32" s="106">
        <f>IF(ISERROR(FIND('Gas refrigeranti'!A3,$J$29)),0,1)</f>
        <v>0</v>
      </c>
      <c r="N32" s="106">
        <f>IF(OR(K32&gt;1000,K32&lt;0),2,0)</f>
        <v>0</v>
      </c>
      <c r="O32" s="141">
        <f>IF(AND(N32=2,K32&gt;1000),"Controlla il valore inserito perché risulta troppo elevato.",IF(AND(N32=2,K32&lt;0),"Controlla il valore inserito: non è ammissibile un valore negativo.",))</f>
        <v>0</v>
      </c>
    </row>
    <row r="33" spans="1:15" s="110" customFormat="1" ht="28.55" x14ac:dyDescent="0.25">
      <c r="A33" s="166">
        <f t="shared" si="6"/>
        <v>29</v>
      </c>
      <c r="B33" s="106">
        <f t="shared" si="5"/>
        <v>3</v>
      </c>
      <c r="C33" s="174" t="s">
        <v>251</v>
      </c>
      <c r="D33" s="163" t="s">
        <v>254</v>
      </c>
      <c r="E33" s="106" t="s">
        <v>246</v>
      </c>
      <c r="F33" s="106" t="s">
        <v>176</v>
      </c>
      <c r="G33" s="106" t="s">
        <v>210</v>
      </c>
      <c r="H33" s="175">
        <v>0</v>
      </c>
      <c r="I33" s="106"/>
      <c r="J33" s="164"/>
      <c r="K33" s="133"/>
      <c r="L33" s="106">
        <f>IF(ISERROR(FIND('Gas refrigeranti'!A4,$J$29)),0,1)</f>
        <v>0</v>
      </c>
      <c r="M33" s="106">
        <f>IF(ISERROR(FIND('Gas refrigeranti'!A4,$J$29)),0,1)</f>
        <v>0</v>
      </c>
      <c r="N33" s="106">
        <f>IF(OR(K33&gt;5000,K33&lt;0),2,0)</f>
        <v>0</v>
      </c>
      <c r="O33" s="141">
        <f>IF(AND(N33=2,K33&gt;5000),"Controlla il valore inserito perché risulta troppo elevato.",IF(AND(N33=2,K33&lt;0),"Controlla il valore inserito: non è ammissibile un valore negativo.",))</f>
        <v>0</v>
      </c>
    </row>
    <row r="34" spans="1:15" s="110" customFormat="1" x14ac:dyDescent="0.25">
      <c r="A34" s="166">
        <f t="shared" si="6"/>
        <v>30</v>
      </c>
      <c r="B34" s="106">
        <f t="shared" si="5"/>
        <v>3</v>
      </c>
      <c r="C34" s="174" t="s">
        <v>252</v>
      </c>
      <c r="D34" s="163"/>
      <c r="E34" s="106" t="s">
        <v>223</v>
      </c>
      <c r="F34" s="106" t="s">
        <v>175</v>
      </c>
      <c r="G34" s="106" t="s">
        <v>224</v>
      </c>
      <c r="H34" s="175"/>
      <c r="I34" s="106"/>
      <c r="J34" s="106"/>
      <c r="K34" s="123">
        <f>IF(ISERROR(FIND('Gas refrigeranti'!$A4,$J$29)),H33,(K33*$K$17/5)/$K$10)</f>
        <v>0</v>
      </c>
      <c r="L34" s="106">
        <v>0</v>
      </c>
      <c r="M34" s="106">
        <v>0</v>
      </c>
      <c r="N34" s="106">
        <v>0</v>
      </c>
      <c r="O34" s="141"/>
    </row>
    <row r="35" spans="1:15" s="110" customFormat="1" x14ac:dyDescent="0.25">
      <c r="A35" s="166">
        <f t="shared" si="6"/>
        <v>31</v>
      </c>
      <c r="B35" s="106">
        <f t="shared" si="5"/>
        <v>3</v>
      </c>
      <c r="C35" s="174" t="s">
        <v>253</v>
      </c>
      <c r="D35" s="163" t="s">
        <v>255</v>
      </c>
      <c r="E35" s="106" t="s">
        <v>229</v>
      </c>
      <c r="F35" s="106" t="s">
        <v>176</v>
      </c>
      <c r="G35" s="106" t="s">
        <v>224</v>
      </c>
      <c r="H35" s="175">
        <v>0</v>
      </c>
      <c r="I35" s="106"/>
      <c r="J35" s="106"/>
      <c r="K35" s="133"/>
      <c r="L35" s="106">
        <f>IF(ISERROR(FIND('Gas refrigeranti'!A4,$J$29)),0,1)</f>
        <v>0</v>
      </c>
      <c r="M35" s="106">
        <f>IF(ISERROR(FIND('Gas refrigeranti'!A4,$J$29)),0,1)</f>
        <v>0</v>
      </c>
      <c r="N35" s="106">
        <f>IF(OR(K35&gt;1000,K35&lt;0),2,0)</f>
        <v>0</v>
      </c>
      <c r="O35" s="141">
        <f>IF(AND(N35=2,K35&gt;1000),"Controlla il valore inserito perché risulta troppo elevato.",IF(AND(N35=2,K35&lt;0),"Controlla il valore inserito: non è ammissibile un valore negativo.",))</f>
        <v>0</v>
      </c>
    </row>
    <row r="36" spans="1:15" s="110" customFormat="1" ht="28.55" x14ac:dyDescent="0.25">
      <c r="A36" s="166">
        <f t="shared" si="6"/>
        <v>32</v>
      </c>
      <c r="B36" s="106">
        <f t="shared" si="5"/>
        <v>3</v>
      </c>
      <c r="C36" s="174" t="s">
        <v>256</v>
      </c>
      <c r="D36" s="163" t="s">
        <v>259</v>
      </c>
      <c r="E36" s="106" t="s">
        <v>246</v>
      </c>
      <c r="F36" s="106" t="s">
        <v>176</v>
      </c>
      <c r="G36" s="106" t="s">
        <v>210</v>
      </c>
      <c r="H36" s="175">
        <v>0</v>
      </c>
      <c r="I36" s="106"/>
      <c r="J36" s="106"/>
      <c r="K36" s="133"/>
      <c r="L36" s="106">
        <f>IF(ISERROR(FIND('Gas refrigeranti'!A5,$J$29)),0,1)</f>
        <v>0</v>
      </c>
      <c r="M36" s="106">
        <f>IF(ISERROR(FIND('Gas refrigeranti'!A5,$J$29)),0,1)</f>
        <v>0</v>
      </c>
      <c r="N36" s="106">
        <f>IF(OR(K36&gt;5000,K36&lt;0),2,0)</f>
        <v>0</v>
      </c>
      <c r="O36" s="141">
        <f>IF(AND(N36=2,K36&gt;5000),"Controlla il valore inserito perché risulta troppo elevato.",IF(AND(N36=2,K36&lt;0),"Controlla il valore inserito: non è ammissibile un valore negativo.",))</f>
        <v>0</v>
      </c>
    </row>
    <row r="37" spans="1:15" s="110" customFormat="1" x14ac:dyDescent="0.25">
      <c r="A37" s="166">
        <f t="shared" si="6"/>
        <v>33</v>
      </c>
      <c r="B37" s="106">
        <f t="shared" si="5"/>
        <v>3</v>
      </c>
      <c r="C37" s="174" t="s">
        <v>257</v>
      </c>
      <c r="D37" s="163"/>
      <c r="E37" s="106" t="s">
        <v>223</v>
      </c>
      <c r="F37" s="106" t="s">
        <v>175</v>
      </c>
      <c r="G37" s="106" t="s">
        <v>224</v>
      </c>
      <c r="H37" s="175"/>
      <c r="I37" s="106"/>
      <c r="J37" s="106"/>
      <c r="K37" s="123">
        <f>IF(ISERROR(FIND('Gas refrigeranti'!$A5,$J$29)),H36,(K36*$K$17/5)/$K$10)</f>
        <v>0</v>
      </c>
      <c r="L37" s="106">
        <v>0</v>
      </c>
      <c r="M37" s="106">
        <v>0</v>
      </c>
      <c r="N37" s="106">
        <v>0</v>
      </c>
      <c r="O37" s="141"/>
    </row>
    <row r="38" spans="1:15" s="110" customFormat="1" x14ac:dyDescent="0.25">
      <c r="A38" s="166">
        <f t="shared" si="6"/>
        <v>34</v>
      </c>
      <c r="B38" s="106">
        <f t="shared" si="5"/>
        <v>3</v>
      </c>
      <c r="C38" s="174" t="s">
        <v>258</v>
      </c>
      <c r="D38" s="163" t="s">
        <v>260</v>
      </c>
      <c r="E38" s="106" t="s">
        <v>229</v>
      </c>
      <c r="F38" s="106" t="s">
        <v>176</v>
      </c>
      <c r="G38" s="106" t="s">
        <v>224</v>
      </c>
      <c r="H38" s="175">
        <v>0</v>
      </c>
      <c r="I38" s="106"/>
      <c r="J38" s="106"/>
      <c r="K38" s="133"/>
      <c r="L38" s="106">
        <f>IF(ISERROR(FIND('Gas refrigeranti'!A5,$J$29)),0,1)</f>
        <v>0</v>
      </c>
      <c r="M38" s="106">
        <f>IF(ISERROR(FIND('Gas refrigeranti'!A5,$J$29)),0,1)</f>
        <v>0</v>
      </c>
      <c r="N38" s="106">
        <f>IF(OR(K38&gt;1000,K38&lt;0),2,0)</f>
        <v>0</v>
      </c>
      <c r="O38" s="141">
        <f>IF(AND(N38=2,K38&gt;1000),"Controlla il valore inserito perché risulta troppo elevato.",IF(AND(N38=2,K38&lt;0),"Controlla il valore inserito: non è ammissibile un valore negativo.",))</f>
        <v>0</v>
      </c>
    </row>
    <row r="39" spans="1:15" s="110" customFormat="1" ht="28.55" x14ac:dyDescent="0.25">
      <c r="A39" s="166">
        <f t="shared" si="6"/>
        <v>35</v>
      </c>
      <c r="B39" s="106">
        <f t="shared" si="5"/>
        <v>3</v>
      </c>
      <c r="C39" s="174" t="s">
        <v>261</v>
      </c>
      <c r="D39" s="163" t="s">
        <v>262</v>
      </c>
      <c r="E39" s="106" t="s">
        <v>246</v>
      </c>
      <c r="F39" s="106" t="s">
        <v>176</v>
      </c>
      <c r="G39" s="106" t="s">
        <v>210</v>
      </c>
      <c r="H39" s="175">
        <v>0</v>
      </c>
      <c r="I39" s="106"/>
      <c r="J39" s="106"/>
      <c r="K39" s="133"/>
      <c r="L39" s="106">
        <f>IF(ISERROR(FIND('Gas refrigeranti'!A6,$J$29)),0,1)</f>
        <v>0</v>
      </c>
      <c r="M39" s="106">
        <f>IF(ISERROR(FIND('Gas refrigeranti'!A6,$J$29)),0,1)</f>
        <v>0</v>
      </c>
      <c r="N39" s="106">
        <f>IF(OR(K39&gt;5000,K39&lt;0),2,0)</f>
        <v>0</v>
      </c>
      <c r="O39" s="141">
        <f>IF(AND(N39=2,K39&gt;5000),"Controlla il valore inserito perché risulta troppo elevato.",IF(AND(N39=2,K39&lt;0),"Controlla il valore inserito: non è ammissibile un valore negativo.",))</f>
        <v>0</v>
      </c>
    </row>
    <row r="40" spans="1:15" s="110" customFormat="1" x14ac:dyDescent="0.25">
      <c r="A40" s="166">
        <f t="shared" si="6"/>
        <v>36</v>
      </c>
      <c r="B40" s="106">
        <f t="shared" si="5"/>
        <v>3</v>
      </c>
      <c r="C40" s="174" t="s">
        <v>263</v>
      </c>
      <c r="D40" s="163"/>
      <c r="E40" s="106" t="s">
        <v>223</v>
      </c>
      <c r="F40" s="106" t="s">
        <v>175</v>
      </c>
      <c r="G40" s="106" t="s">
        <v>224</v>
      </c>
      <c r="H40" s="118"/>
      <c r="I40" s="118"/>
      <c r="J40" s="118"/>
      <c r="K40" s="123">
        <f>IF(ISERROR(FIND('Gas refrigeranti'!$A6,$J$29)),H39,(K39*$K$17/5)/$K$10)</f>
        <v>0</v>
      </c>
      <c r="L40" s="106">
        <v>0</v>
      </c>
      <c r="M40" s="106">
        <v>0</v>
      </c>
      <c r="N40" s="106">
        <v>0</v>
      </c>
      <c r="O40" s="142"/>
    </row>
    <row r="41" spans="1:15" s="110" customFormat="1" x14ac:dyDescent="0.25">
      <c r="A41" s="166">
        <f t="shared" si="6"/>
        <v>37</v>
      </c>
      <c r="B41" s="106">
        <f t="shared" si="5"/>
        <v>3</v>
      </c>
      <c r="C41" s="174" t="s">
        <v>264</v>
      </c>
      <c r="D41" s="163" t="s">
        <v>265</v>
      </c>
      <c r="E41" s="106" t="s">
        <v>229</v>
      </c>
      <c r="F41" s="106" t="s">
        <v>176</v>
      </c>
      <c r="G41" s="106" t="s">
        <v>224</v>
      </c>
      <c r="H41" s="175">
        <v>0</v>
      </c>
      <c r="I41" s="106"/>
      <c r="J41" s="106"/>
      <c r="K41" s="133"/>
      <c r="L41" s="106">
        <f>IF(ISERROR(FIND('Gas refrigeranti'!A6,$J$29)),0,1)</f>
        <v>0</v>
      </c>
      <c r="M41" s="106">
        <f>IF(ISERROR(FIND('Gas refrigeranti'!A6,$J$29)),0,1)</f>
        <v>0</v>
      </c>
      <c r="N41" s="106">
        <f>IF(OR(K41&gt;1000,K41&lt;0),2,0)</f>
        <v>0</v>
      </c>
      <c r="O41" s="141">
        <f>IF(AND(N41=2,K41&gt;1000),"Controlla il valore inserito perché risulta troppo elevato.",IF(AND(N41=2,K41&lt;0),"Controlla il valore inserito: non è ammissibile un valore negativo.",))</f>
        <v>0</v>
      </c>
    </row>
    <row r="42" spans="1:15" s="110" customFormat="1" ht="28.55" x14ac:dyDescent="0.25">
      <c r="A42" s="166">
        <f>A41+1</f>
        <v>38</v>
      </c>
      <c r="B42" s="175">
        <f>B41</f>
        <v>3</v>
      </c>
      <c r="C42" s="174" t="s">
        <v>266</v>
      </c>
      <c r="D42" s="163" t="s">
        <v>267</v>
      </c>
      <c r="E42" s="106" t="s">
        <v>246</v>
      </c>
      <c r="F42" s="106" t="s">
        <v>176</v>
      </c>
      <c r="G42" s="106" t="s">
        <v>210</v>
      </c>
      <c r="H42" s="175">
        <v>0</v>
      </c>
      <c r="I42" s="106"/>
      <c r="J42" s="106"/>
      <c r="K42" s="133"/>
      <c r="L42" s="106">
        <f>IF(ISERROR(FIND('Gas refrigeranti'!#REF!,$J$29)),0,1)</f>
        <v>0</v>
      </c>
      <c r="M42" s="106">
        <f>IF(ISERROR(FIND('Gas refrigeranti'!#REF!,$J$29)),0,1)</f>
        <v>0</v>
      </c>
      <c r="N42" s="106">
        <f>IF(OR(K42&gt;5000,K42&lt;0),2,0)</f>
        <v>0</v>
      </c>
      <c r="O42" s="141">
        <f>IF(AND(N42=2,K42&gt;5000),"Controlla il valore inserito perché risulta troppo elevato.",IF(AND(N42=2,K42&lt;0),"Controlla il valore inserito: non è ammissibile un valore negativo.",))</f>
        <v>0</v>
      </c>
    </row>
    <row r="43" spans="1:15" s="110" customFormat="1" ht="28.55" x14ac:dyDescent="0.25">
      <c r="A43" s="175">
        <f t="shared" ref="A43:A44" si="7">A42+1</f>
        <v>39</v>
      </c>
      <c r="B43" s="175">
        <f t="shared" ref="B43:B44" si="8">B42</f>
        <v>3</v>
      </c>
      <c r="C43" s="174" t="s">
        <v>268</v>
      </c>
      <c r="D43" s="163" t="s">
        <v>271</v>
      </c>
      <c r="E43" s="106" t="s">
        <v>246</v>
      </c>
      <c r="F43" s="106" t="s">
        <v>176</v>
      </c>
      <c r="G43" s="106" t="s">
        <v>210</v>
      </c>
      <c r="H43" s="175">
        <v>0</v>
      </c>
      <c r="I43" s="106"/>
      <c r="J43" s="106"/>
      <c r="K43" s="133"/>
      <c r="L43" s="106">
        <f>IF(ISERROR(FIND('Gas refrigeranti'!A7,$J$29)),0,1)</f>
        <v>0</v>
      </c>
      <c r="M43" s="106">
        <f>IF(ISERROR(FIND('Gas refrigeranti'!A7,$J$29)),0,1)</f>
        <v>0</v>
      </c>
      <c r="N43" s="106">
        <f>IF(OR(K43&gt;5000,K43&lt;0),2,0)</f>
        <v>0</v>
      </c>
      <c r="O43" s="141">
        <f>IF(AND(N43=2,K43&gt;5000),"Controlla il valore inserito perché risulta troppo elevato.",IF(AND(N43=2,K43&lt;0),"Controlla il valore inserito: non è ammissibile un valore negativo.",))</f>
        <v>0</v>
      </c>
    </row>
    <row r="44" spans="1:15" s="110" customFormat="1" x14ac:dyDescent="0.25">
      <c r="A44" s="175">
        <f t="shared" si="7"/>
        <v>40</v>
      </c>
      <c r="B44" s="175">
        <f t="shared" si="8"/>
        <v>3</v>
      </c>
      <c r="C44" s="174" t="s">
        <v>269</v>
      </c>
      <c r="D44" s="163"/>
      <c r="E44" s="106" t="s">
        <v>223</v>
      </c>
      <c r="F44" s="106" t="s">
        <v>175</v>
      </c>
      <c r="G44" s="106" t="s">
        <v>224</v>
      </c>
      <c r="H44" s="175"/>
      <c r="I44" s="106"/>
      <c r="J44" s="106"/>
      <c r="K44" s="123">
        <f>IF(ISERROR(FIND('Gas refrigeranti'!$A7,$J$29)),H43,(K43*$K$17/5)/$K$10)</f>
        <v>0</v>
      </c>
      <c r="L44" s="106">
        <v>0</v>
      </c>
      <c r="M44" s="106">
        <v>0</v>
      </c>
      <c r="N44" s="106">
        <v>0</v>
      </c>
      <c r="O44" s="141"/>
    </row>
    <row r="45" spans="1:15" s="110" customFormat="1" x14ac:dyDescent="0.25">
      <c r="A45" s="106">
        <f t="shared" ref="A45:A48" si="9">A44+1</f>
        <v>41</v>
      </c>
      <c r="B45" s="106">
        <f t="shared" si="5"/>
        <v>3</v>
      </c>
      <c r="C45" s="174" t="s">
        <v>270</v>
      </c>
      <c r="D45" s="163" t="s">
        <v>272</v>
      </c>
      <c r="E45" s="106" t="s">
        <v>229</v>
      </c>
      <c r="F45" s="106" t="s">
        <v>176</v>
      </c>
      <c r="G45" s="106" t="s">
        <v>224</v>
      </c>
      <c r="H45" s="175">
        <v>0</v>
      </c>
      <c r="I45" s="106"/>
      <c r="J45" s="106"/>
      <c r="K45" s="133"/>
      <c r="L45" s="106">
        <f>IF(ISERROR(FIND('Gas refrigeranti'!A7,$J$29)),0,1)</f>
        <v>0</v>
      </c>
      <c r="M45" s="106">
        <f>IF(ISERROR(FIND('Gas refrigeranti'!A7,$J$29)),0,1)</f>
        <v>0</v>
      </c>
      <c r="N45" s="106">
        <f>IF(OR(K45&gt;1000,K45&lt;0),2,0)</f>
        <v>0</v>
      </c>
      <c r="O45" s="141">
        <f>IF(AND(N45=2,K45&gt;1000),"Controlla il valore inserito perché risulta troppo elevato.",IF(AND(N45=2,K45&lt;0),"Controlla il valore inserito: non è ammissibile un valore negativo.",))</f>
        <v>0</v>
      </c>
    </row>
    <row r="46" spans="1:15" s="110" customFormat="1" x14ac:dyDescent="0.25">
      <c r="A46" s="106">
        <f t="shared" si="9"/>
        <v>42</v>
      </c>
      <c r="B46" s="106">
        <f t="shared" si="5"/>
        <v>3</v>
      </c>
      <c r="C46" s="174" t="s">
        <v>273</v>
      </c>
      <c r="D46" s="163"/>
      <c r="E46" s="106" t="s">
        <v>223</v>
      </c>
      <c r="F46" s="106" t="s">
        <v>175</v>
      </c>
      <c r="G46" s="106" t="s">
        <v>224</v>
      </c>
      <c r="H46" s="175"/>
      <c r="I46" s="106"/>
      <c r="J46" s="106"/>
      <c r="K46" s="123">
        <f>IF(J29='Gas refrigeranti'!A2,0,SUM(K31,K34,K37,K40,K44))</f>
        <v>0</v>
      </c>
      <c r="L46" s="106">
        <v>0</v>
      </c>
      <c r="M46" s="106">
        <v>0</v>
      </c>
      <c r="N46" s="106">
        <v>0</v>
      </c>
      <c r="O46" s="141"/>
    </row>
    <row r="47" spans="1:15" s="110" customFormat="1" x14ac:dyDescent="0.25">
      <c r="A47" s="166">
        <f t="shared" si="9"/>
        <v>43</v>
      </c>
      <c r="B47" s="106">
        <f t="shared" si="5"/>
        <v>3</v>
      </c>
      <c r="C47" s="174" t="s">
        <v>274</v>
      </c>
      <c r="D47" s="163"/>
      <c r="E47" s="106" t="s">
        <v>229</v>
      </c>
      <c r="F47" s="106" t="s">
        <v>176</v>
      </c>
      <c r="G47" s="106" t="s">
        <v>224</v>
      </c>
      <c r="H47" s="175"/>
      <c r="I47" s="106"/>
      <c r="J47" s="106"/>
      <c r="K47" s="134" t="e">
        <f>IF(J29='Gas refrigeranti'!A2,0,AVERAGE(K32,K35,K38,K41,K45))</f>
        <v>#DIV/0!</v>
      </c>
      <c r="L47" s="106">
        <v>0</v>
      </c>
      <c r="M47" s="106">
        <v>0</v>
      </c>
      <c r="N47" s="106">
        <v>0</v>
      </c>
      <c r="O47" s="141"/>
    </row>
    <row r="48" spans="1:15" s="110" customFormat="1" ht="28.55" x14ac:dyDescent="0.25">
      <c r="A48" s="166">
        <f t="shared" si="9"/>
        <v>44</v>
      </c>
      <c r="B48" s="106">
        <f t="shared" si="5"/>
        <v>3</v>
      </c>
      <c r="C48" s="174" t="s">
        <v>275</v>
      </c>
      <c r="D48" s="163" t="s">
        <v>444</v>
      </c>
      <c r="E48" s="106"/>
      <c r="F48" s="106" t="s">
        <v>176</v>
      </c>
      <c r="G48" s="106" t="s">
        <v>226</v>
      </c>
      <c r="H48" s="175" t="s">
        <v>178</v>
      </c>
      <c r="I48" s="106"/>
      <c r="J48" s="106"/>
      <c r="K48" s="146"/>
      <c r="L48" s="106">
        <f>IF(K11&gt;0,1,0)</f>
        <v>0</v>
      </c>
      <c r="M48" s="106">
        <f>IF(K11&gt;0,1,0)</f>
        <v>0</v>
      </c>
      <c r="N48" s="106">
        <v>0</v>
      </c>
      <c r="O48" s="141"/>
    </row>
    <row r="49" spans="1:15" s="110" customFormat="1" x14ac:dyDescent="0.25">
      <c r="A49" s="106">
        <f t="shared" ref="A49:A64" si="10">A48+1</f>
        <v>45</v>
      </c>
      <c r="B49" s="106">
        <f t="shared" si="5"/>
        <v>3</v>
      </c>
      <c r="C49" s="174" t="s">
        <v>276</v>
      </c>
      <c r="D49" s="163" t="s">
        <v>277</v>
      </c>
      <c r="E49" s="106" t="s">
        <v>209</v>
      </c>
      <c r="F49" s="106" t="s">
        <v>176</v>
      </c>
      <c r="G49" s="106" t="s">
        <v>210</v>
      </c>
      <c r="H49" s="175">
        <v>0</v>
      </c>
      <c r="I49" s="106"/>
      <c r="J49" s="106"/>
      <c r="K49" s="132"/>
      <c r="L49" s="106">
        <f>IF(K48="Sì",1,0)</f>
        <v>0</v>
      </c>
      <c r="M49" s="172">
        <f>IF(K48="Sì",1,0)</f>
        <v>0</v>
      </c>
      <c r="N49" s="106">
        <f>IF(OR(K49&gt;15000000,K49&lt;0),2,0)</f>
        <v>0</v>
      </c>
      <c r="O49" s="141">
        <f>IF(AND(N49=2,K49&gt;15000000),"Controlla il valore inserito perché risulta troppo elevato.",IF(AND(N49=2,K49&lt;0),"Controlla il valore inserito: non è ammissibile un valore negativo.",))</f>
        <v>0</v>
      </c>
    </row>
    <row r="50" spans="1:15" s="110" customFormat="1" x14ac:dyDescent="0.25">
      <c r="A50" s="106">
        <f t="shared" si="10"/>
        <v>46</v>
      </c>
      <c r="B50" s="106">
        <f t="shared" si="5"/>
        <v>3</v>
      </c>
      <c r="C50" s="174" t="s">
        <v>278</v>
      </c>
      <c r="D50" s="163" t="s">
        <v>279</v>
      </c>
      <c r="E50" s="106" t="s">
        <v>209</v>
      </c>
      <c r="F50" s="106" t="s">
        <v>176</v>
      </c>
      <c r="G50" s="106" t="s">
        <v>210</v>
      </c>
      <c r="H50" s="175">
        <v>0</v>
      </c>
      <c r="I50" s="106"/>
      <c r="J50" s="106"/>
      <c r="K50" s="132"/>
      <c r="L50" s="106">
        <f>IF(K48="Sì",1,0)</f>
        <v>0</v>
      </c>
      <c r="M50" s="172">
        <f>IF(K48="Sì",1,0)</f>
        <v>0</v>
      </c>
      <c r="N50" s="106">
        <f>IF(OR(K50&gt;15000000,K50&lt;0),2,0)</f>
        <v>0</v>
      </c>
      <c r="O50" s="141">
        <f>IF(AND(N50=2,K50&gt;15000000),"Controlla il valore inserito perché risulta troppo elevato.",IF(AND(N50=2,K50&lt;0),"Controlla il valore inserito: non è ammissibile un valore negativo.",))</f>
        <v>0</v>
      </c>
    </row>
    <row r="51" spans="1:15" s="110" customFormat="1" ht="28.55" x14ac:dyDescent="0.25">
      <c r="A51" s="106">
        <f t="shared" si="10"/>
        <v>47</v>
      </c>
      <c r="B51" s="106">
        <f t="shared" si="5"/>
        <v>3</v>
      </c>
      <c r="C51" s="174" t="s">
        <v>280</v>
      </c>
      <c r="D51" s="163" t="s">
        <v>445</v>
      </c>
      <c r="E51" s="106" t="s">
        <v>209</v>
      </c>
      <c r="F51" s="106" t="s">
        <v>176</v>
      </c>
      <c r="G51" s="106" t="s">
        <v>210</v>
      </c>
      <c r="H51" s="175">
        <v>0</v>
      </c>
      <c r="I51" s="106"/>
      <c r="J51" s="106"/>
      <c r="K51" s="132"/>
      <c r="L51" s="172">
        <f>IF(K48="No",1,0)</f>
        <v>0</v>
      </c>
      <c r="M51" s="172">
        <f>IF(K48="No",1,0)</f>
        <v>0</v>
      </c>
      <c r="N51" s="106">
        <f>IF(OR(K51&gt;30000000,K51&lt;0),2,0)</f>
        <v>0</v>
      </c>
      <c r="O51" s="141">
        <f>IF(AND(N51=2,K51&gt;30000000),"Controlla il valore inserito perché risulta troppo elevato.",IF(AND(N51=2,K51&lt;0),"Controlla il valore inserito: non è ammissibile un valore negativo.",))</f>
        <v>0</v>
      </c>
    </row>
    <row r="52" spans="1:15" s="110" customFormat="1" ht="28.55" x14ac:dyDescent="0.25">
      <c r="A52" s="106">
        <f t="shared" si="10"/>
        <v>48</v>
      </c>
      <c r="B52" s="106">
        <f t="shared" si="5"/>
        <v>3</v>
      </c>
      <c r="C52" s="174" t="s">
        <v>283</v>
      </c>
      <c r="D52" s="163" t="s">
        <v>281</v>
      </c>
      <c r="E52" s="106" t="s">
        <v>179</v>
      </c>
      <c r="F52" s="106" t="s">
        <v>176</v>
      </c>
      <c r="G52" s="106" t="s">
        <v>224</v>
      </c>
      <c r="H52" s="185">
        <v>0.5</v>
      </c>
      <c r="I52" s="106"/>
      <c r="J52" s="106"/>
      <c r="K52" s="124"/>
      <c r="L52" s="172">
        <f>IF(K48="No",1,0)</f>
        <v>0</v>
      </c>
      <c r="M52" s="172">
        <f>IF(K48="No",1,0)</f>
        <v>0</v>
      </c>
      <c r="N52" s="106">
        <f>IF(OR(K52&gt;100%,K52&lt;0%),2,0)</f>
        <v>0</v>
      </c>
      <c r="O52" s="141">
        <f>IF(AND(N52=2,K52&gt;100%),"Controlla il valore inserito perché risulta troppo elevato.",IF(AND(N52=2,K52&lt;0%), "Controlla il valore inserito: non è ammissibile un valore negativo.",))</f>
        <v>0</v>
      </c>
    </row>
    <row r="53" spans="1:15" s="110" customFormat="1" ht="28.55" x14ac:dyDescent="0.25">
      <c r="A53" s="106">
        <f t="shared" si="10"/>
        <v>49</v>
      </c>
      <c r="B53" s="106">
        <f t="shared" si="5"/>
        <v>3</v>
      </c>
      <c r="C53" s="174" t="s">
        <v>284</v>
      </c>
      <c r="D53" s="163" t="s">
        <v>282</v>
      </c>
      <c r="E53" s="106" t="s">
        <v>179</v>
      </c>
      <c r="F53" s="106" t="s">
        <v>176</v>
      </c>
      <c r="G53" s="106" t="s">
        <v>224</v>
      </c>
      <c r="H53" s="185">
        <v>0.5</v>
      </c>
      <c r="I53" s="106"/>
      <c r="J53" s="106"/>
      <c r="K53" s="124"/>
      <c r="L53" s="172">
        <f>IF(K48="No",1,0)</f>
        <v>0</v>
      </c>
      <c r="M53" s="172">
        <f>IF(K48="No",1,0)</f>
        <v>0</v>
      </c>
      <c r="N53" s="106">
        <f>IF(OR(K53&gt;100%,K53&lt;0%),2,0)</f>
        <v>0</v>
      </c>
      <c r="O53" s="141">
        <f>IF(AND(N53=2,K53&gt;100%),"Controlla il valore inserito perché risulta troppo elevato.",IF(AND(N53=2,K53&lt;0%), "Controlla il valore inserito: non è ammissibile un valore negativo.",))</f>
        <v>0</v>
      </c>
    </row>
    <row r="54" spans="1:15" s="110" customFormat="1" x14ac:dyDescent="0.25">
      <c r="A54" s="166">
        <f t="shared" si="10"/>
        <v>50</v>
      </c>
      <c r="B54" s="106">
        <f t="shared" si="5"/>
        <v>3</v>
      </c>
      <c r="C54" s="174" t="s">
        <v>285</v>
      </c>
      <c r="D54" s="163"/>
      <c r="E54" s="106" t="s">
        <v>179</v>
      </c>
      <c r="F54" s="106" t="s">
        <v>176</v>
      </c>
      <c r="G54" s="106" t="s">
        <v>224</v>
      </c>
      <c r="H54" s="175"/>
      <c r="I54" s="106"/>
      <c r="J54" s="106"/>
      <c r="K54" s="131">
        <f>SUM(K52:K53)</f>
        <v>0</v>
      </c>
      <c r="L54" s="106">
        <v>0</v>
      </c>
      <c r="M54" s="106">
        <v>0</v>
      </c>
      <c r="N54" s="106">
        <f>IF(K54=100%,0,2)</f>
        <v>2</v>
      </c>
      <c r="O54" s="141" t="str">
        <f>IF(N54=2,"Controlla i valori inseriti: il totale deve essere uguale a 100%",)</f>
        <v>Controlla i valori inseriti: il totale deve essere uguale a 100%</v>
      </c>
    </row>
    <row r="55" spans="1:15" s="110" customFormat="1" x14ac:dyDescent="0.25">
      <c r="A55" s="166">
        <f t="shared" si="10"/>
        <v>51</v>
      </c>
      <c r="B55" s="106">
        <f t="shared" si="5"/>
        <v>3</v>
      </c>
      <c r="C55" s="174" t="s">
        <v>286</v>
      </c>
      <c r="D55" s="163"/>
      <c r="E55" s="106" t="s">
        <v>223</v>
      </c>
      <c r="F55" s="106" t="s">
        <v>175</v>
      </c>
      <c r="G55" s="106" t="s">
        <v>224</v>
      </c>
      <c r="H55" s="175"/>
      <c r="I55" s="106"/>
      <c r="J55" s="106"/>
      <c r="K55" s="123" t="e">
        <f>IF(K48="Sì",(K49*$K$17/K13),(K51*K52*$K$17)/K13)</f>
        <v>#DIV/0!</v>
      </c>
      <c r="L55" s="106">
        <v>0</v>
      </c>
      <c r="M55" s="106">
        <v>0</v>
      </c>
      <c r="N55" s="106">
        <v>0</v>
      </c>
      <c r="O55" s="141"/>
    </row>
    <row r="56" spans="1:15" s="110" customFormat="1" x14ac:dyDescent="0.25">
      <c r="A56" s="106">
        <f t="shared" si="10"/>
        <v>52</v>
      </c>
      <c r="B56" s="106">
        <f t="shared" si="5"/>
        <v>3</v>
      </c>
      <c r="C56" s="174" t="s">
        <v>287</v>
      </c>
      <c r="D56" s="163"/>
      <c r="E56" s="106" t="s">
        <v>223</v>
      </c>
      <c r="F56" s="106" t="s">
        <v>175</v>
      </c>
      <c r="G56" s="106" t="s">
        <v>224</v>
      </c>
      <c r="H56" s="175"/>
      <c r="I56" s="106"/>
      <c r="J56" s="106"/>
      <c r="K56" s="123" t="e">
        <f>IF(K48="Sì",(K50*$K$17/K13),(K51*K53*$K$17)/K13)</f>
        <v>#DIV/0!</v>
      </c>
      <c r="L56" s="106">
        <v>0</v>
      </c>
      <c r="M56" s="106">
        <v>0</v>
      </c>
      <c r="N56" s="106">
        <v>0</v>
      </c>
      <c r="O56" s="141"/>
    </row>
    <row r="57" spans="1:15" s="110" customFormat="1" x14ac:dyDescent="0.25">
      <c r="A57" s="106">
        <f t="shared" si="10"/>
        <v>53</v>
      </c>
      <c r="B57" s="106">
        <f t="shared" si="5"/>
        <v>3</v>
      </c>
      <c r="C57" s="174" t="s">
        <v>288</v>
      </c>
      <c r="D57" s="163" t="s">
        <v>289</v>
      </c>
      <c r="E57" s="106" t="s">
        <v>229</v>
      </c>
      <c r="F57" s="106" t="s">
        <v>176</v>
      </c>
      <c r="G57" s="106" t="s">
        <v>224</v>
      </c>
      <c r="H57" s="175">
        <v>0</v>
      </c>
      <c r="I57" s="106"/>
      <c r="J57" s="106"/>
      <c r="K57" s="133"/>
      <c r="L57" s="106">
        <f>IF(K11&gt;0,1,0)</f>
        <v>0</v>
      </c>
      <c r="M57" s="106">
        <f>IF(K11&gt;0,1,0)</f>
        <v>0</v>
      </c>
      <c r="N57" s="106">
        <f>IF(OR(K57&gt;1000,K57&lt;0),2,0)</f>
        <v>0</v>
      </c>
      <c r="O57" s="141">
        <f>IF(AND(N57=2,K57&gt;1000),"Controlla il valore inserito perché risulta troppo elevato.",IF(AND(N57=2,K57&lt;0),"Controlla il valore inserito: non è ammissibile un valore negativo.",))</f>
        <v>0</v>
      </c>
    </row>
    <row r="58" spans="1:15" s="110" customFormat="1" x14ac:dyDescent="0.25">
      <c r="A58" s="106">
        <f>A57+1</f>
        <v>54</v>
      </c>
      <c r="B58" s="106">
        <f t="shared" si="5"/>
        <v>3</v>
      </c>
      <c r="C58" s="174" t="s">
        <v>290</v>
      </c>
      <c r="D58" s="163" t="s">
        <v>291</v>
      </c>
      <c r="E58" s="106" t="s">
        <v>229</v>
      </c>
      <c r="F58" s="106" t="s">
        <v>176</v>
      </c>
      <c r="G58" s="106" t="s">
        <v>224</v>
      </c>
      <c r="H58" s="175">
        <v>0</v>
      </c>
      <c r="I58" s="106"/>
      <c r="J58" s="106"/>
      <c r="K58" s="133"/>
      <c r="L58" s="106">
        <f>IF(K11&gt;0,1,0)</f>
        <v>0</v>
      </c>
      <c r="M58" s="106">
        <f>IF(K11&gt;0,1,0)</f>
        <v>0</v>
      </c>
      <c r="N58" s="106">
        <f>IF(OR(K58&gt;1000,K58&lt;0),2,0)</f>
        <v>0</v>
      </c>
      <c r="O58" s="141">
        <f>IF(AND(N58=2,K58&gt;1000),"Controlla il valore inserito perché risulta troppo elevato.",IF(AND(N58=2,K58&lt;0),"Controlla il valore inserito: non è ammissibile un valore negativo.",))</f>
        <v>0</v>
      </c>
    </row>
    <row r="59" spans="1:15" s="110" customFormat="1" x14ac:dyDescent="0.25">
      <c r="A59" s="106">
        <f t="shared" si="10"/>
        <v>55</v>
      </c>
      <c r="B59" s="106">
        <f t="shared" si="5"/>
        <v>3</v>
      </c>
      <c r="C59" s="174" t="s">
        <v>292</v>
      </c>
      <c r="D59" s="163"/>
      <c r="E59" s="106" t="s">
        <v>230</v>
      </c>
      <c r="F59" s="106" t="s">
        <v>175</v>
      </c>
      <c r="G59" s="106" t="s">
        <v>224</v>
      </c>
      <c r="H59" s="175"/>
      <c r="I59" s="106"/>
      <c r="J59" s="106"/>
      <c r="K59" s="123" t="e">
        <f>(K55/1000)*K57</f>
        <v>#DIV/0!</v>
      </c>
      <c r="L59" s="106">
        <v>0</v>
      </c>
      <c r="M59" s="106">
        <v>0</v>
      </c>
      <c r="N59" s="106">
        <v>0</v>
      </c>
      <c r="O59" s="141"/>
    </row>
    <row r="60" spans="1:15" s="110" customFormat="1" x14ac:dyDescent="0.25">
      <c r="A60" s="106">
        <f t="shared" si="10"/>
        <v>56</v>
      </c>
      <c r="B60" s="106">
        <f t="shared" si="5"/>
        <v>3</v>
      </c>
      <c r="C60" s="174" t="s">
        <v>293</v>
      </c>
      <c r="D60" s="163"/>
      <c r="E60" s="106" t="s">
        <v>230</v>
      </c>
      <c r="F60" s="106" t="s">
        <v>175</v>
      </c>
      <c r="G60" s="106" t="s">
        <v>224</v>
      </c>
      <c r="H60" s="175"/>
      <c r="I60" s="106"/>
      <c r="J60" s="106"/>
      <c r="K60" s="123" t="e">
        <f>(K56/1000)*K58</f>
        <v>#DIV/0!</v>
      </c>
      <c r="L60" s="106">
        <v>0</v>
      </c>
      <c r="M60" s="106">
        <v>0</v>
      </c>
      <c r="N60" s="106">
        <v>0</v>
      </c>
      <c r="O60" s="141"/>
    </row>
    <row r="61" spans="1:15" s="110" customFormat="1" x14ac:dyDescent="0.25">
      <c r="A61" s="106">
        <f t="shared" si="10"/>
        <v>57</v>
      </c>
      <c r="B61" s="106">
        <f t="shared" si="5"/>
        <v>3</v>
      </c>
      <c r="C61" s="174" t="s">
        <v>294</v>
      </c>
      <c r="D61" s="163" t="s">
        <v>295</v>
      </c>
      <c r="E61" s="106" t="s">
        <v>209</v>
      </c>
      <c r="F61" s="106" t="s">
        <v>176</v>
      </c>
      <c r="G61" s="106" t="s">
        <v>210</v>
      </c>
      <c r="H61" s="175"/>
      <c r="I61" s="106"/>
      <c r="J61" s="106"/>
      <c r="K61" s="133"/>
      <c r="L61" s="106">
        <v>1</v>
      </c>
      <c r="M61" s="106">
        <v>1</v>
      </c>
      <c r="N61" s="106">
        <f>IF(OR(K61&gt;500000,K61&lt;0),2,0)</f>
        <v>0</v>
      </c>
      <c r="O61" s="141">
        <f>IF(AND(N61=2,K61&gt;500000),"Controlla il valore inserito perché risulta troppo elevato.",IF(AND(N61=2,K61&lt;0), "Controlla il valore inserito: non è ammissibile un valore negativo.",))</f>
        <v>0</v>
      </c>
    </row>
    <row r="62" spans="1:15" s="110" customFormat="1" x14ac:dyDescent="0.25">
      <c r="A62" s="106">
        <f t="shared" si="10"/>
        <v>58</v>
      </c>
      <c r="B62" s="106">
        <f t="shared" si="5"/>
        <v>3</v>
      </c>
      <c r="C62" s="174" t="s">
        <v>296</v>
      </c>
      <c r="D62" s="163" t="s">
        <v>297</v>
      </c>
      <c r="E62" s="106" t="s">
        <v>179</v>
      </c>
      <c r="F62" s="106" t="s">
        <v>176</v>
      </c>
      <c r="G62" s="106" t="s">
        <v>224</v>
      </c>
      <c r="H62" s="187">
        <v>0.21575</v>
      </c>
      <c r="I62" s="106"/>
      <c r="J62" s="106"/>
      <c r="K62" s="106"/>
      <c r="L62" s="106">
        <v>0</v>
      </c>
      <c r="M62" s="106">
        <v>0</v>
      </c>
      <c r="N62" s="106">
        <v>0</v>
      </c>
      <c r="O62" s="141"/>
    </row>
    <row r="63" spans="1:15" s="110" customFormat="1" x14ac:dyDescent="0.25">
      <c r="A63" s="106">
        <f t="shared" si="10"/>
        <v>59</v>
      </c>
      <c r="B63" s="106">
        <f t="shared" si="5"/>
        <v>3</v>
      </c>
      <c r="C63" s="174" t="s">
        <v>298</v>
      </c>
      <c r="D63" s="163"/>
      <c r="E63" s="106" t="s">
        <v>223</v>
      </c>
      <c r="F63" s="106" t="s">
        <v>175</v>
      </c>
      <c r="G63" s="106" t="s">
        <v>224</v>
      </c>
      <c r="H63" s="157"/>
      <c r="I63" s="106"/>
      <c r="J63" s="106"/>
      <c r="K63" s="123" t="e">
        <f>IF(K61*H62*$K$17/K10&lt;0.05,K61*H62*$K$17/K10,H63)</f>
        <v>#DIV/0!</v>
      </c>
      <c r="L63" s="106">
        <v>0</v>
      </c>
      <c r="M63" s="106">
        <v>0</v>
      </c>
      <c r="N63" s="106">
        <v>0</v>
      </c>
      <c r="O63" s="141"/>
    </row>
    <row r="64" spans="1:15" s="110" customFormat="1" x14ac:dyDescent="0.25">
      <c r="A64" s="106">
        <f t="shared" si="10"/>
        <v>60</v>
      </c>
      <c r="B64" s="106">
        <f t="shared" si="5"/>
        <v>3</v>
      </c>
      <c r="C64" s="174" t="s">
        <v>299</v>
      </c>
      <c r="D64" s="163" t="s">
        <v>300</v>
      </c>
      <c r="E64" s="106" t="s">
        <v>229</v>
      </c>
      <c r="F64" s="106" t="s">
        <v>176</v>
      </c>
      <c r="G64" s="106" t="s">
        <v>224</v>
      </c>
      <c r="H64" s="175">
        <v>0</v>
      </c>
      <c r="I64" s="106"/>
      <c r="J64" s="106"/>
      <c r="K64" s="133"/>
      <c r="L64" s="106">
        <f>IF(K61&gt;0,1,0)</f>
        <v>0</v>
      </c>
      <c r="M64" s="106">
        <f>IF(K61&gt;0,1,0)</f>
        <v>0</v>
      </c>
      <c r="N64" s="106">
        <f>IF(OR(K64&gt;1000,K64&lt;0),2,0)</f>
        <v>0</v>
      </c>
      <c r="O64" s="141">
        <f>IF(AND(N64=2,K64&gt;1000),"Controlla il valore inserito perché risulta troppo elevato.",IF(AND(N64=2,K64&lt;0),"Controlla il valore inserito: non è ammissibile un valore negativo.",))</f>
        <v>0</v>
      </c>
    </row>
    <row r="65" spans="1:16" s="110" customFormat="1" x14ac:dyDescent="0.25">
      <c r="A65" s="106">
        <f t="shared" ref="A65:A66" si="11">A64+1</f>
        <v>61</v>
      </c>
      <c r="B65" s="106">
        <f t="shared" ref="B65:B66" si="12">B64</f>
        <v>3</v>
      </c>
      <c r="C65" s="174" t="s">
        <v>301</v>
      </c>
      <c r="D65" s="163"/>
      <c r="E65" s="106" t="s">
        <v>230</v>
      </c>
      <c r="F65" s="106" t="s">
        <v>175</v>
      </c>
      <c r="G65" s="106" t="s">
        <v>224</v>
      </c>
      <c r="H65" s="106"/>
      <c r="I65" s="106"/>
      <c r="J65" s="106"/>
      <c r="K65" s="123" t="e">
        <f>(K63/1000)*K64</f>
        <v>#DIV/0!</v>
      </c>
      <c r="L65" s="106">
        <v>0</v>
      </c>
      <c r="M65" s="106">
        <v>0</v>
      </c>
      <c r="N65" s="106">
        <v>0</v>
      </c>
      <c r="O65" s="141"/>
    </row>
    <row r="66" spans="1:16" s="110" customFormat="1" x14ac:dyDescent="0.25">
      <c r="A66" s="106">
        <f t="shared" si="11"/>
        <v>62</v>
      </c>
      <c r="B66" s="113">
        <f t="shared" si="12"/>
        <v>3</v>
      </c>
      <c r="C66" s="174" t="s">
        <v>302</v>
      </c>
      <c r="D66" s="163"/>
      <c r="E66" s="106" t="s">
        <v>223</v>
      </c>
      <c r="F66" s="106" t="s">
        <v>175</v>
      </c>
      <c r="G66" s="106" t="s">
        <v>224</v>
      </c>
      <c r="H66" s="156"/>
      <c r="I66" s="106"/>
      <c r="J66" s="106"/>
      <c r="K66" s="123" t="e">
        <f>(SUM(K28,K61*(100%-H62)))*$K$17/K10</f>
        <v>#DIV/0!</v>
      </c>
      <c r="L66" s="106">
        <v>0</v>
      </c>
      <c r="M66" s="106">
        <v>0</v>
      </c>
      <c r="N66" s="106">
        <v>0</v>
      </c>
      <c r="O66" s="141"/>
    </row>
    <row r="67" spans="1:16" s="110" customFormat="1" x14ac:dyDescent="0.25">
      <c r="A67" s="190" t="s">
        <v>303</v>
      </c>
      <c r="B67" s="190"/>
      <c r="C67" s="190"/>
      <c r="D67" s="190"/>
      <c r="E67" s="190"/>
      <c r="F67" s="190"/>
      <c r="G67" s="190"/>
      <c r="H67" s="190"/>
      <c r="I67" s="190"/>
      <c r="J67" s="190"/>
      <c r="K67" s="190"/>
      <c r="L67" s="190"/>
      <c r="M67" s="190"/>
      <c r="N67" s="190"/>
      <c r="O67" s="190"/>
    </row>
    <row r="68" spans="1:16" s="110" customFormat="1" x14ac:dyDescent="0.25">
      <c r="A68" s="106">
        <f>A66+1</f>
        <v>63</v>
      </c>
      <c r="B68" s="106">
        <f>B66+1</f>
        <v>4</v>
      </c>
      <c r="C68" s="116" t="s">
        <v>304</v>
      </c>
      <c r="D68" s="163" t="s">
        <v>186</v>
      </c>
      <c r="E68" s="106"/>
      <c r="F68" s="106" t="s">
        <v>175</v>
      </c>
      <c r="G68" s="106" t="s">
        <v>228</v>
      </c>
      <c r="H68" s="122"/>
      <c r="I68" s="101" t="s">
        <v>366</v>
      </c>
      <c r="J68" s="101"/>
      <c r="K68" s="146"/>
      <c r="L68" s="106">
        <v>1</v>
      </c>
      <c r="M68" s="106">
        <v>1</v>
      </c>
      <c r="N68" s="106">
        <v>0</v>
      </c>
      <c r="O68" s="141"/>
    </row>
    <row r="69" spans="1:16" s="110" customFormat="1" x14ac:dyDescent="0.25">
      <c r="A69" s="166">
        <f>A68+1</f>
        <v>64</v>
      </c>
      <c r="B69" s="106">
        <f>B68</f>
        <v>4</v>
      </c>
      <c r="C69" s="116" t="s">
        <v>305</v>
      </c>
      <c r="D69" s="163" t="s">
        <v>306</v>
      </c>
      <c r="E69" s="106" t="s">
        <v>20</v>
      </c>
      <c r="F69" s="106" t="s">
        <v>175</v>
      </c>
      <c r="G69" s="106" t="s">
        <v>210</v>
      </c>
      <c r="I69" s="106"/>
      <c r="J69" s="106"/>
      <c r="K69" s="133"/>
      <c r="L69" s="106">
        <v>1</v>
      </c>
      <c r="M69" s="106">
        <v>1</v>
      </c>
      <c r="N69" s="106">
        <f>IF(OR(K69&lt;=0,K69&gt;20000),2,0)</f>
        <v>2</v>
      </c>
      <c r="O69" s="141" t="str">
        <f>IF(AND(N69=2,K69&lt;=0),"Controlla il valore inserito: non è ammissibile un valore negativo.",IF(AND(N69=2,K69&gt;20000),"Controlla il valore inserito perché risulta troppo elevato.",))</f>
        <v>Controlla il valore inserito: non è ammissibile un valore negativo.</v>
      </c>
    </row>
    <row r="70" spans="1:16" s="110" customFormat="1" ht="28.55" x14ac:dyDescent="0.25">
      <c r="A70" s="166">
        <f t="shared" ref="A70" si="13">A69+1</f>
        <v>65</v>
      </c>
      <c r="B70" s="106">
        <f t="shared" ref="B70" si="14">B69</f>
        <v>4</v>
      </c>
      <c r="C70" s="116" t="s">
        <v>309</v>
      </c>
      <c r="D70" s="163" t="s">
        <v>310</v>
      </c>
      <c r="E70" s="106"/>
      <c r="F70" s="106" t="s">
        <v>176</v>
      </c>
      <c r="G70" s="106" t="s">
        <v>226</v>
      </c>
      <c r="H70" s="175" t="s">
        <v>176</v>
      </c>
      <c r="I70" s="106"/>
      <c r="J70" s="106"/>
      <c r="K70" s="146"/>
      <c r="L70" s="106">
        <f>IF(K11&gt;0,1,0)</f>
        <v>0</v>
      </c>
      <c r="M70" s="106">
        <f>IF(K11&gt;0,1,0)</f>
        <v>0</v>
      </c>
      <c r="N70" s="106">
        <v>0</v>
      </c>
      <c r="O70" s="141"/>
    </row>
    <row r="71" spans="1:16" s="110" customFormat="1" x14ac:dyDescent="0.25">
      <c r="A71" s="193" t="s">
        <v>311</v>
      </c>
      <c r="B71" s="194"/>
      <c r="C71" s="194"/>
      <c r="D71" s="194"/>
      <c r="E71" s="194"/>
      <c r="F71" s="194"/>
      <c r="G71" s="194"/>
      <c r="H71" s="194"/>
      <c r="I71" s="194"/>
      <c r="J71" s="194"/>
      <c r="K71" s="194"/>
      <c r="L71" s="194"/>
      <c r="M71" s="194"/>
      <c r="N71" s="194"/>
      <c r="O71" s="194"/>
    </row>
    <row r="72" spans="1:16" s="110" customFormat="1" x14ac:dyDescent="0.25">
      <c r="A72" s="106">
        <f>A70+1</f>
        <v>66</v>
      </c>
      <c r="B72" s="106">
        <f>B70+1</f>
        <v>5</v>
      </c>
      <c r="C72" s="116" t="s">
        <v>312</v>
      </c>
      <c r="D72" s="163" t="s">
        <v>184</v>
      </c>
      <c r="E72" s="106"/>
      <c r="F72" s="106" t="s">
        <v>175</v>
      </c>
      <c r="G72" s="106" t="s">
        <v>228</v>
      </c>
      <c r="H72" s="106"/>
      <c r="I72" s="106" t="s">
        <v>377</v>
      </c>
      <c r="J72" s="106"/>
      <c r="K72" s="146"/>
      <c r="L72" s="106">
        <v>1</v>
      </c>
      <c r="M72" s="106">
        <v>1</v>
      </c>
      <c r="N72" s="106">
        <v>0</v>
      </c>
      <c r="O72" s="141"/>
      <c r="P72" s="174"/>
    </row>
    <row r="73" spans="1:16" s="110" customFormat="1" x14ac:dyDescent="0.25">
      <c r="A73" s="166">
        <f>A72+1</f>
        <v>67</v>
      </c>
      <c r="B73" s="106">
        <f>B72</f>
        <v>5</v>
      </c>
      <c r="C73" s="116" t="s">
        <v>313</v>
      </c>
      <c r="D73" s="163"/>
      <c r="E73" s="106" t="s">
        <v>314</v>
      </c>
      <c r="F73" s="106" t="s">
        <v>176</v>
      </c>
      <c r="G73" s="106" t="s">
        <v>210</v>
      </c>
      <c r="H73" s="186">
        <v>108</v>
      </c>
      <c r="I73" s="106"/>
      <c r="J73" s="106"/>
      <c r="K73" s="106"/>
      <c r="L73" s="106">
        <v>0</v>
      </c>
      <c r="M73" s="106">
        <v>0</v>
      </c>
      <c r="N73" s="106">
        <v>0</v>
      </c>
      <c r="O73" s="141"/>
    </row>
    <row r="74" spans="1:16" s="110" customFormat="1" x14ac:dyDescent="0.25">
      <c r="A74" s="166">
        <f t="shared" ref="A74:A100" si="15">A73+1</f>
        <v>68</v>
      </c>
      <c r="B74" s="106">
        <f t="shared" ref="B74:B100" si="16">B73</f>
        <v>5</v>
      </c>
      <c r="C74" s="116" t="s">
        <v>315</v>
      </c>
      <c r="D74" s="163" t="s">
        <v>316</v>
      </c>
      <c r="E74" s="106" t="s">
        <v>20</v>
      </c>
      <c r="F74" s="106" t="s">
        <v>176</v>
      </c>
      <c r="G74" s="106" t="s">
        <v>224</v>
      </c>
      <c r="H74" s="175">
        <v>0</v>
      </c>
      <c r="I74" s="106"/>
      <c r="J74" s="106"/>
      <c r="K74" s="133"/>
      <c r="L74" s="106">
        <f>IF(OR(J72='Tipologia packaging primario'!A2,J72='Tipologia packaging primario'!A4,J72='Tipologia packaging primario'!A5),1,0)</f>
        <v>0</v>
      </c>
      <c r="M74" s="106">
        <f>IF(OR(J72='Tipologia packaging primario'!A2,J72='Tipologia packaging primario'!A4,J72='Tipologia packaging primario'!A5),1,0)</f>
        <v>0</v>
      </c>
      <c r="N74" s="106">
        <f>IF(OR(K74&gt;100,K74&lt;=0),2,0)</f>
        <v>2</v>
      </c>
      <c r="O74" s="141" t="str">
        <f>IF(AND(N74=2,K74&gt;100),"Controlla il valore inserito perché risulta troppo elevato.",IF(AND(N74=2,K74&lt;=0),"Controlla il valore inserito: non è ammissibile un valore negativo o nullo.",))</f>
        <v>Controlla il valore inserito: non è ammissibile un valore negativo o nullo.</v>
      </c>
      <c r="P74" s="174"/>
    </row>
    <row r="75" spans="1:16" s="110" customFormat="1" x14ac:dyDescent="0.25">
      <c r="A75" s="166">
        <f t="shared" si="15"/>
        <v>69</v>
      </c>
      <c r="B75" s="106">
        <f t="shared" si="16"/>
        <v>5</v>
      </c>
      <c r="C75" s="116" t="s">
        <v>317</v>
      </c>
      <c r="D75" s="163"/>
      <c r="E75" s="106" t="s">
        <v>223</v>
      </c>
      <c r="F75" s="106" t="s">
        <v>176</v>
      </c>
      <c r="G75" s="106" t="s">
        <v>224</v>
      </c>
      <c r="H75" s="175"/>
      <c r="I75" s="106"/>
      <c r="J75" s="106"/>
      <c r="K75" s="128" t="e">
        <f>(K74/1000)/(K69/1000)</f>
        <v>#DIV/0!</v>
      </c>
      <c r="L75" s="106">
        <v>0</v>
      </c>
      <c r="M75" s="106">
        <v>0</v>
      </c>
      <c r="N75" s="106">
        <v>0</v>
      </c>
      <c r="O75" s="141"/>
    </row>
    <row r="76" spans="1:16" s="110" customFormat="1" x14ac:dyDescent="0.25">
      <c r="A76" s="166">
        <f t="shared" si="15"/>
        <v>70</v>
      </c>
      <c r="B76" s="106">
        <f t="shared" si="16"/>
        <v>5</v>
      </c>
      <c r="C76" s="116" t="s">
        <v>318</v>
      </c>
      <c r="D76" s="163"/>
      <c r="E76" s="106" t="s">
        <v>319</v>
      </c>
      <c r="F76" s="106" t="s">
        <v>176</v>
      </c>
      <c r="G76" s="106" t="s">
        <v>224</v>
      </c>
      <c r="H76" s="175"/>
      <c r="I76" s="106"/>
      <c r="J76" s="106"/>
      <c r="K76" s="128" t="e">
        <f>(K75/1000)/H73</f>
        <v>#DIV/0!</v>
      </c>
      <c r="L76" s="106">
        <v>0</v>
      </c>
      <c r="M76" s="106">
        <v>0</v>
      </c>
      <c r="N76" s="106">
        <v>0</v>
      </c>
      <c r="O76" s="141"/>
    </row>
    <row r="77" spans="1:16" s="110" customFormat="1" x14ac:dyDescent="0.25">
      <c r="A77" s="166">
        <f t="shared" si="15"/>
        <v>71</v>
      </c>
      <c r="B77" s="106">
        <f t="shared" si="16"/>
        <v>5</v>
      </c>
      <c r="C77" s="116" t="s">
        <v>320</v>
      </c>
      <c r="D77" s="163" t="s">
        <v>321</v>
      </c>
      <c r="E77" s="106" t="s">
        <v>179</v>
      </c>
      <c r="F77" s="106" t="s">
        <v>176</v>
      </c>
      <c r="G77" s="106" t="s">
        <v>224</v>
      </c>
      <c r="H77" s="185">
        <v>0</v>
      </c>
      <c r="I77" s="106"/>
      <c r="J77" s="106"/>
      <c r="K77" s="124"/>
      <c r="L77" s="106">
        <f>IF(OR(J72='Tipologia packaging primario'!A2,J72='Tipologia packaging primario'!A4,J72='Tipologia packaging primario'!A5),1,0)</f>
        <v>0</v>
      </c>
      <c r="M77" s="106">
        <f>IF(OR(J72='Tipologia packaging primario'!A2,J72='Tipologia packaging primario'!A4,J72='Tipologia packaging primario'!A5),1,0)</f>
        <v>0</v>
      </c>
      <c r="N77" s="106">
        <f>IF(OR(K77&gt;=100%,K77&lt;0%),2,0)</f>
        <v>0</v>
      </c>
      <c r="O77" s="141">
        <f>IF(AND(N77=2,K77&gt;=100%),"Controlla il valore inserito perché risulta troppo elevato.",IF(AND(N77=2,K77&lt;0%),"Controlla il valore inserito: non è ammissibile un valore negativo.",))</f>
        <v>0</v>
      </c>
    </row>
    <row r="78" spans="1:16" s="110" customFormat="1" x14ac:dyDescent="0.25">
      <c r="A78" s="166">
        <f t="shared" si="15"/>
        <v>72</v>
      </c>
      <c r="B78" s="106">
        <f t="shared" si="16"/>
        <v>5</v>
      </c>
      <c r="C78" s="116" t="s">
        <v>322</v>
      </c>
      <c r="D78" s="163"/>
      <c r="E78" s="106" t="s">
        <v>223</v>
      </c>
      <c r="F78" s="106" t="s">
        <v>176</v>
      </c>
      <c r="G78" s="106" t="s">
        <v>224</v>
      </c>
      <c r="H78" s="175"/>
      <c r="I78" s="106"/>
      <c r="J78" s="106"/>
      <c r="K78" s="128" t="e">
        <f>(K77*K75)/(100%-K77)</f>
        <v>#DIV/0!</v>
      </c>
      <c r="L78" s="106">
        <v>0</v>
      </c>
      <c r="M78" s="106">
        <v>0</v>
      </c>
      <c r="N78" s="106">
        <v>0</v>
      </c>
      <c r="O78" s="141"/>
    </row>
    <row r="79" spans="1:16" s="110" customFormat="1" x14ac:dyDescent="0.25">
      <c r="A79" s="166">
        <f t="shared" si="15"/>
        <v>73</v>
      </c>
      <c r="B79" s="106">
        <f t="shared" si="16"/>
        <v>5</v>
      </c>
      <c r="C79" s="174" t="s">
        <v>323</v>
      </c>
      <c r="D79" s="163"/>
      <c r="E79" s="106" t="s">
        <v>319</v>
      </c>
      <c r="F79" s="106" t="s">
        <v>176</v>
      </c>
      <c r="G79" s="106" t="s">
        <v>224</v>
      </c>
      <c r="H79" s="175"/>
      <c r="I79" s="106"/>
      <c r="J79" s="106"/>
      <c r="K79" s="128" t="e">
        <f>(K78/1000)/H73</f>
        <v>#DIV/0!</v>
      </c>
      <c r="L79" s="106">
        <v>0</v>
      </c>
      <c r="M79" s="106">
        <v>0</v>
      </c>
      <c r="N79" s="106">
        <v>0</v>
      </c>
      <c r="O79" s="141"/>
    </row>
    <row r="80" spans="1:16" s="110" customFormat="1" x14ac:dyDescent="0.25">
      <c r="A80" s="166">
        <f t="shared" si="15"/>
        <v>74</v>
      </c>
      <c r="B80" s="106">
        <f t="shared" si="16"/>
        <v>5</v>
      </c>
      <c r="C80" s="174" t="s">
        <v>324</v>
      </c>
      <c r="D80" s="163" t="s">
        <v>325</v>
      </c>
      <c r="E80" s="106" t="s">
        <v>229</v>
      </c>
      <c r="F80" s="106" t="s">
        <v>176</v>
      </c>
      <c r="G80" s="106" t="s">
        <v>224</v>
      </c>
      <c r="H80" s="175">
        <v>0</v>
      </c>
      <c r="I80" s="106"/>
      <c r="J80" s="106"/>
      <c r="K80" s="133"/>
      <c r="L80" s="106">
        <f>IF(OR(J72='Tipologia packaging primario'!A2,J72='Tipologia packaging primario'!A4,J72='Tipologia packaging primario'!A5),1,0)</f>
        <v>0</v>
      </c>
      <c r="M80" s="106">
        <f>IF(OR(J72='Tipologia packaging primario'!A2,J72='Tipologia packaging primario'!A4,J72='Tipologia packaging primario'!A5),1,0)</f>
        <v>0</v>
      </c>
      <c r="N80" s="106">
        <f>IF(OR(K80&gt;=2000,K80&lt;=0),2,0)</f>
        <v>2</v>
      </c>
      <c r="O80" s="141" t="str">
        <f>IF(AND(N80=2,K80&gt;=2000),"Controlla il valore inserito perché risulta troppo elevato.",IF(AND(N80=2,K80&lt;=0),"Controlla il valore inserito: non è ammissibile un valore negativo o nullo.",))</f>
        <v>Controlla il valore inserito: non è ammissibile un valore negativo o nullo.</v>
      </c>
    </row>
    <row r="81" spans="1:15" s="110" customFormat="1" x14ac:dyDescent="0.25">
      <c r="A81" s="166">
        <f t="shared" si="15"/>
        <v>75</v>
      </c>
      <c r="B81" s="106">
        <f t="shared" si="16"/>
        <v>5</v>
      </c>
      <c r="C81" s="174" t="s">
        <v>326</v>
      </c>
      <c r="D81" s="163"/>
      <c r="E81" s="106" t="s">
        <v>319</v>
      </c>
      <c r="F81" s="106" t="s">
        <v>175</v>
      </c>
      <c r="G81" s="106" t="s">
        <v>224</v>
      </c>
      <c r="H81" s="175"/>
      <c r="I81" s="106"/>
      <c r="J81" s="106"/>
      <c r="K81" s="123" t="e">
        <f>SUM(K76,K79)*$K$17</f>
        <v>#DIV/0!</v>
      </c>
      <c r="L81" s="106">
        <v>0</v>
      </c>
      <c r="M81" s="106">
        <v>0</v>
      </c>
      <c r="N81" s="106">
        <v>0</v>
      </c>
      <c r="O81" s="141"/>
    </row>
    <row r="82" spans="1:15" s="110" customFormat="1" x14ac:dyDescent="0.25">
      <c r="A82" s="168">
        <f t="shared" si="15"/>
        <v>76</v>
      </c>
      <c r="B82" s="113">
        <f t="shared" si="16"/>
        <v>5</v>
      </c>
      <c r="C82" s="114" t="s">
        <v>327</v>
      </c>
      <c r="D82" s="149"/>
      <c r="E82" s="113" t="s">
        <v>230</v>
      </c>
      <c r="F82" s="113" t="s">
        <v>175</v>
      </c>
      <c r="G82" s="113" t="s">
        <v>224</v>
      </c>
      <c r="H82" s="168"/>
      <c r="I82" s="113"/>
      <c r="J82" s="113"/>
      <c r="K82" s="129" t="e">
        <f>(SUM(K75,K78)*$K$17/1000)*K80</f>
        <v>#DIV/0!</v>
      </c>
      <c r="L82" s="113">
        <v>0</v>
      </c>
      <c r="M82" s="113">
        <v>0</v>
      </c>
      <c r="N82" s="113">
        <v>0</v>
      </c>
      <c r="O82" s="114"/>
    </row>
    <row r="83" spans="1:15" s="110" customFormat="1" x14ac:dyDescent="0.25">
      <c r="A83" s="166">
        <f t="shared" si="15"/>
        <v>77</v>
      </c>
      <c r="B83" s="106">
        <f t="shared" si="16"/>
        <v>5</v>
      </c>
      <c r="C83" s="174" t="s">
        <v>328</v>
      </c>
      <c r="D83" s="163" t="s">
        <v>329</v>
      </c>
      <c r="E83" s="106" t="s">
        <v>20</v>
      </c>
      <c r="F83" s="106" t="s">
        <v>176</v>
      </c>
      <c r="G83" s="106" t="s">
        <v>224</v>
      </c>
      <c r="H83" s="175">
        <v>0</v>
      </c>
      <c r="I83" s="106"/>
      <c r="J83" s="106"/>
      <c r="K83" s="133"/>
      <c r="L83" s="106">
        <f>IF(J72='Tipologia packaging primario'!A3,1,0)</f>
        <v>0</v>
      </c>
      <c r="M83" s="106">
        <f>IF(J72='Tipologia packaging primario'!A3,1,0)</f>
        <v>0</v>
      </c>
      <c r="N83" s="106">
        <f>IF(OR(K83&gt;=30,K83&lt;=0),2,0)</f>
        <v>2</v>
      </c>
      <c r="O83" s="141" t="str">
        <f>IF(AND(N83=2,K83&gt;=30),"Controlla il valore inserito perché risulta troppo elevato.",IF(AND(N83=2,K83&lt;=0),"Controlla il valore inserito: non è ammissibile un valore negativo o nullo.",))</f>
        <v>Controlla il valore inserito: non è ammissibile un valore negativo o nullo.</v>
      </c>
    </row>
    <row r="84" spans="1:15" s="110" customFormat="1" x14ac:dyDescent="0.25">
      <c r="A84" s="166">
        <f t="shared" si="15"/>
        <v>78</v>
      </c>
      <c r="B84" s="106">
        <f t="shared" si="16"/>
        <v>5</v>
      </c>
      <c r="C84" s="174" t="s">
        <v>330</v>
      </c>
      <c r="D84" s="163"/>
      <c r="E84" s="106" t="s">
        <v>223</v>
      </c>
      <c r="F84" s="106" t="s">
        <v>176</v>
      </c>
      <c r="G84" s="106" t="s">
        <v>224</v>
      </c>
      <c r="H84" s="175"/>
      <c r="I84" s="106"/>
      <c r="J84" s="106"/>
      <c r="K84" s="128" t="e">
        <f>(K83/1000)/(K69/1000)</f>
        <v>#DIV/0!</v>
      </c>
      <c r="L84" s="106">
        <v>0</v>
      </c>
      <c r="M84" s="106">
        <v>0</v>
      </c>
      <c r="N84" s="106">
        <v>0</v>
      </c>
      <c r="O84" s="141"/>
    </row>
    <row r="85" spans="1:15" s="110" customFormat="1" x14ac:dyDescent="0.25">
      <c r="A85" s="166">
        <f t="shared" si="15"/>
        <v>79</v>
      </c>
      <c r="B85" s="106">
        <f t="shared" si="16"/>
        <v>5</v>
      </c>
      <c r="C85" s="174" t="s">
        <v>331</v>
      </c>
      <c r="D85" s="163"/>
      <c r="E85" s="106" t="s">
        <v>319</v>
      </c>
      <c r="F85" s="106" t="s">
        <v>176</v>
      </c>
      <c r="G85" s="106" t="s">
        <v>224</v>
      </c>
      <c r="H85" s="175"/>
      <c r="I85" s="106"/>
      <c r="J85" s="106"/>
      <c r="K85" s="128" t="e">
        <f>(K84/1000)/H73</f>
        <v>#DIV/0!</v>
      </c>
      <c r="L85" s="106">
        <v>0</v>
      </c>
      <c r="M85" s="106">
        <v>0</v>
      </c>
      <c r="N85" s="106">
        <v>0</v>
      </c>
      <c r="O85" s="141"/>
    </row>
    <row r="86" spans="1:15" s="110" customFormat="1" x14ac:dyDescent="0.25">
      <c r="A86" s="166">
        <f t="shared" si="15"/>
        <v>80</v>
      </c>
      <c r="B86" s="106">
        <f t="shared" si="16"/>
        <v>5</v>
      </c>
      <c r="C86" s="174" t="s">
        <v>332</v>
      </c>
      <c r="D86" s="163" t="s">
        <v>333</v>
      </c>
      <c r="E86" s="106" t="s">
        <v>179</v>
      </c>
      <c r="F86" s="106" t="s">
        <v>176</v>
      </c>
      <c r="G86" s="106" t="s">
        <v>224</v>
      </c>
      <c r="H86" s="185">
        <v>0</v>
      </c>
      <c r="I86" s="106"/>
      <c r="J86" s="106"/>
      <c r="K86" s="124"/>
      <c r="L86" s="106">
        <f>IF(J72='Tipologia packaging primario'!A3,1,0)</f>
        <v>0</v>
      </c>
      <c r="M86" s="106">
        <f>IF(J72='Tipologia packaging primario'!A3,1,0)</f>
        <v>0</v>
      </c>
      <c r="N86" s="106">
        <f>IF(OR(K86&gt;=100%,K86&lt;0%),2,0)</f>
        <v>0</v>
      </c>
      <c r="O86" s="141">
        <f>IF(AND(N86=2,K86&gt;=100%),"Controlla il valore inserito perché risulta troppo elevato.",IF(AND(N86=2,K86&lt;0%),"Controlla il valore inserito: non è ammissibile un valore negativo.",))</f>
        <v>0</v>
      </c>
    </row>
    <row r="87" spans="1:15" s="110" customFormat="1" x14ac:dyDescent="0.25">
      <c r="A87" s="166">
        <f t="shared" si="15"/>
        <v>81</v>
      </c>
      <c r="B87" s="106">
        <f t="shared" si="16"/>
        <v>5</v>
      </c>
      <c r="C87" s="174" t="s">
        <v>334</v>
      </c>
      <c r="D87" s="163"/>
      <c r="E87" s="106" t="s">
        <v>223</v>
      </c>
      <c r="F87" s="106" t="s">
        <v>176</v>
      </c>
      <c r="G87" s="106" t="s">
        <v>224</v>
      </c>
      <c r="H87" s="175"/>
      <c r="I87" s="106"/>
      <c r="J87" s="106"/>
      <c r="K87" s="128" t="e">
        <f>(K86*K84)/(100%-K86)</f>
        <v>#DIV/0!</v>
      </c>
      <c r="L87" s="106">
        <v>0</v>
      </c>
      <c r="M87" s="106">
        <v>0</v>
      </c>
      <c r="N87" s="106">
        <v>0</v>
      </c>
      <c r="O87" s="141"/>
    </row>
    <row r="88" spans="1:15" s="110" customFormat="1" x14ac:dyDescent="0.25">
      <c r="A88" s="166">
        <f t="shared" si="15"/>
        <v>82</v>
      </c>
      <c r="B88" s="106">
        <f t="shared" si="16"/>
        <v>5</v>
      </c>
      <c r="C88" s="174" t="s">
        <v>335</v>
      </c>
      <c r="D88" s="163"/>
      <c r="E88" s="106" t="s">
        <v>319</v>
      </c>
      <c r="F88" s="106" t="s">
        <v>176</v>
      </c>
      <c r="G88" s="106" t="s">
        <v>224</v>
      </c>
      <c r="H88" s="175"/>
      <c r="I88" s="106"/>
      <c r="J88" s="106"/>
      <c r="K88" s="128" t="e">
        <f>(K87/1000)/H73</f>
        <v>#DIV/0!</v>
      </c>
      <c r="L88" s="106">
        <v>0</v>
      </c>
      <c r="M88" s="106">
        <v>0</v>
      </c>
      <c r="N88" s="106">
        <v>0</v>
      </c>
      <c r="O88" s="141"/>
    </row>
    <row r="89" spans="1:15" s="110" customFormat="1" x14ac:dyDescent="0.25">
      <c r="A89" s="166">
        <f t="shared" si="15"/>
        <v>83</v>
      </c>
      <c r="B89" s="106">
        <f t="shared" si="16"/>
        <v>5</v>
      </c>
      <c r="C89" s="174" t="s">
        <v>336</v>
      </c>
      <c r="D89" s="163" t="s">
        <v>337</v>
      </c>
      <c r="E89" s="106" t="s">
        <v>229</v>
      </c>
      <c r="F89" s="106" t="s">
        <v>176</v>
      </c>
      <c r="G89" s="106" t="s">
        <v>224</v>
      </c>
      <c r="H89" s="175">
        <v>0</v>
      </c>
      <c r="I89" s="106"/>
      <c r="J89" s="106"/>
      <c r="K89" s="133"/>
      <c r="L89" s="106">
        <f>IF(J72='Tipologia packaging primario'!A3,1,0)</f>
        <v>0</v>
      </c>
      <c r="M89" s="106">
        <f>IF(J72='Tipologia packaging primario'!A3,1,0)</f>
        <v>0</v>
      </c>
      <c r="N89" s="106">
        <f>IF(OR(K89&gt;=2000,K89&lt;=0),2,0)</f>
        <v>2</v>
      </c>
      <c r="O89" s="141" t="str">
        <f>IF(AND(N89=2,K89&gt;=2000),"Controlla il valore inserito perché risulta troppo elevato.",IF(AND(N89=2,K89&lt;=0),"Controlla il valore inserito: non è ammissibile un valore negativo o nullo.",))</f>
        <v>Controlla il valore inserito: non è ammissibile un valore negativo o nullo.</v>
      </c>
    </row>
    <row r="90" spans="1:15" s="110" customFormat="1" x14ac:dyDescent="0.25">
      <c r="A90" s="166">
        <f t="shared" si="15"/>
        <v>84</v>
      </c>
      <c r="B90" s="106">
        <f t="shared" si="16"/>
        <v>5</v>
      </c>
      <c r="C90" s="174" t="s">
        <v>338</v>
      </c>
      <c r="D90" s="163"/>
      <c r="E90" s="106" t="s">
        <v>319</v>
      </c>
      <c r="F90" s="106" t="s">
        <v>175</v>
      </c>
      <c r="G90" s="106" t="s">
        <v>224</v>
      </c>
      <c r="H90" s="175"/>
      <c r="I90" s="106"/>
      <c r="J90" s="106"/>
      <c r="K90" s="123" t="e">
        <f>SUM(K85,K88)*$K$17</f>
        <v>#DIV/0!</v>
      </c>
      <c r="L90" s="106">
        <v>0</v>
      </c>
      <c r="M90" s="106">
        <v>0</v>
      </c>
      <c r="N90" s="106">
        <v>0</v>
      </c>
      <c r="O90" s="141"/>
    </row>
    <row r="91" spans="1:15" s="110" customFormat="1" x14ac:dyDescent="0.25">
      <c r="A91" s="166">
        <f t="shared" si="15"/>
        <v>85</v>
      </c>
      <c r="B91" s="106">
        <f t="shared" si="16"/>
        <v>5</v>
      </c>
      <c r="C91" s="174" t="s">
        <v>339</v>
      </c>
      <c r="D91" s="163"/>
      <c r="E91" s="106" t="s">
        <v>230</v>
      </c>
      <c r="F91" s="106" t="s">
        <v>175</v>
      </c>
      <c r="G91" s="106" t="s">
        <v>224</v>
      </c>
      <c r="H91" s="175"/>
      <c r="I91" s="106"/>
      <c r="J91" s="106"/>
      <c r="K91" s="123" t="e">
        <f>(SUM(K84,K87)*$K$17/1000)*K89</f>
        <v>#DIV/0!</v>
      </c>
      <c r="L91" s="106">
        <v>0</v>
      </c>
      <c r="M91" s="106">
        <v>0</v>
      </c>
      <c r="N91" s="106">
        <v>0</v>
      </c>
      <c r="O91" s="141"/>
    </row>
    <row r="92" spans="1:15" s="110" customFormat="1" x14ac:dyDescent="0.25">
      <c r="A92" s="166">
        <f t="shared" si="15"/>
        <v>86</v>
      </c>
      <c r="B92" s="106">
        <f t="shared" si="16"/>
        <v>5</v>
      </c>
      <c r="C92" s="174" t="s">
        <v>340</v>
      </c>
      <c r="D92" s="163" t="s">
        <v>341</v>
      </c>
      <c r="E92" s="106" t="s">
        <v>20</v>
      </c>
      <c r="F92" s="106" t="s">
        <v>176</v>
      </c>
      <c r="G92" s="106" t="s">
        <v>224</v>
      </c>
      <c r="H92" s="175">
        <v>0</v>
      </c>
      <c r="I92" s="106"/>
      <c r="J92" s="106"/>
      <c r="K92" s="133"/>
      <c r="L92" s="106">
        <f>IF(J72='Tipologia packaging primario'!A3,1,0)</f>
        <v>0</v>
      </c>
      <c r="M92" s="106">
        <f>IF(J72='Tipologia packaging primario'!A3,1,0)</f>
        <v>0</v>
      </c>
      <c r="N92" s="106">
        <f>IF(OR(K92&gt;=100,K92&lt;=0),2,0)</f>
        <v>2</v>
      </c>
      <c r="O92" s="141" t="str">
        <f>IF(AND(N92=2,K92&gt;=100),"Controlla il valore inserito perché risulta troppo elevato.",IF(AND(N92=2,K92&lt;=0),"Controlla il valore inserito: non è ammissibile un valore negativo o nullo.",))</f>
        <v>Controlla il valore inserito: non è ammissibile un valore negativo o nullo.</v>
      </c>
    </row>
    <row r="93" spans="1:15" s="110" customFormat="1" x14ac:dyDescent="0.25">
      <c r="A93" s="166">
        <f t="shared" si="15"/>
        <v>87</v>
      </c>
      <c r="B93" s="106">
        <f t="shared" si="16"/>
        <v>5</v>
      </c>
      <c r="C93" s="116" t="s">
        <v>342</v>
      </c>
      <c r="D93" s="163"/>
      <c r="E93" s="106" t="s">
        <v>223</v>
      </c>
      <c r="F93" s="106" t="s">
        <v>176</v>
      </c>
      <c r="G93" s="106" t="s">
        <v>224</v>
      </c>
      <c r="H93" s="175"/>
      <c r="I93" s="106"/>
      <c r="J93" s="106"/>
      <c r="K93" s="128" t="e">
        <f>(K92/1000)/(K69/1000)</f>
        <v>#DIV/0!</v>
      </c>
      <c r="L93" s="106">
        <v>0</v>
      </c>
      <c r="M93" s="106">
        <v>0</v>
      </c>
      <c r="N93" s="106">
        <v>0</v>
      </c>
      <c r="O93" s="141"/>
    </row>
    <row r="94" spans="1:15" s="110" customFormat="1" x14ac:dyDescent="0.25">
      <c r="A94" s="166">
        <f t="shared" si="15"/>
        <v>88</v>
      </c>
      <c r="B94" s="106">
        <f t="shared" si="16"/>
        <v>5</v>
      </c>
      <c r="C94" s="116" t="s">
        <v>343</v>
      </c>
      <c r="D94" s="163"/>
      <c r="E94" s="106" t="s">
        <v>319</v>
      </c>
      <c r="F94" s="106" t="s">
        <v>176</v>
      </c>
      <c r="G94" s="106" t="s">
        <v>224</v>
      </c>
      <c r="H94" s="175"/>
      <c r="I94" s="106"/>
      <c r="J94" s="106"/>
      <c r="K94" s="128" t="e">
        <f>(K93/1000)/H73</f>
        <v>#DIV/0!</v>
      </c>
      <c r="L94" s="106">
        <v>0</v>
      </c>
      <c r="M94" s="106">
        <v>0</v>
      </c>
      <c r="N94" s="106">
        <v>0</v>
      </c>
      <c r="O94" s="141"/>
    </row>
    <row r="95" spans="1:15" s="110" customFormat="1" x14ac:dyDescent="0.25">
      <c r="A95" s="166">
        <f t="shared" si="15"/>
        <v>89</v>
      </c>
      <c r="B95" s="106">
        <f t="shared" si="16"/>
        <v>5</v>
      </c>
      <c r="C95" s="116" t="s">
        <v>344</v>
      </c>
      <c r="D95" s="163" t="s">
        <v>345</v>
      </c>
      <c r="E95" s="106" t="s">
        <v>179</v>
      </c>
      <c r="F95" s="106" t="s">
        <v>176</v>
      </c>
      <c r="G95" s="106" t="s">
        <v>224</v>
      </c>
      <c r="H95" s="185">
        <v>0</v>
      </c>
      <c r="I95" s="106"/>
      <c r="J95" s="106"/>
      <c r="K95" s="124"/>
      <c r="L95" s="106">
        <f>IF(J72='Tipologia packaging primario'!A3,1,0)</f>
        <v>0</v>
      </c>
      <c r="M95" s="106">
        <f>IF(J72='Tipologia packaging primario'!A3,1,0)</f>
        <v>0</v>
      </c>
      <c r="N95" s="106">
        <f>IF(OR(K95&gt;=100%,K95&lt;0%),2,0)</f>
        <v>0</v>
      </c>
      <c r="O95" s="141">
        <f>IF(AND(N95=2,K95&gt;=100%),"Controlla il valore inserito perché risulta troppo elevato.",IF(AND(N95=2,K95&lt;0%),"Controlla il valore inserito: non è ammissibile un valore negativo.",))</f>
        <v>0</v>
      </c>
    </row>
    <row r="96" spans="1:15" s="110" customFormat="1" x14ac:dyDescent="0.25">
      <c r="A96" s="166">
        <f t="shared" si="15"/>
        <v>90</v>
      </c>
      <c r="B96" s="106">
        <f t="shared" si="16"/>
        <v>5</v>
      </c>
      <c r="C96" s="116" t="s">
        <v>346</v>
      </c>
      <c r="D96" s="163"/>
      <c r="E96" s="106" t="s">
        <v>223</v>
      </c>
      <c r="F96" s="106" t="s">
        <v>176</v>
      </c>
      <c r="G96" s="106" t="s">
        <v>224</v>
      </c>
      <c r="H96" s="175"/>
      <c r="I96" s="106"/>
      <c r="J96" s="106"/>
      <c r="K96" s="128" t="e">
        <f>(K95*K93)/(100%-K95)</f>
        <v>#DIV/0!</v>
      </c>
      <c r="L96" s="106">
        <v>0</v>
      </c>
      <c r="M96" s="106">
        <v>0</v>
      </c>
      <c r="N96" s="106">
        <v>0</v>
      </c>
      <c r="O96" s="141"/>
    </row>
    <row r="97" spans="1:15" s="110" customFormat="1" x14ac:dyDescent="0.25">
      <c r="A97" s="166">
        <f t="shared" si="15"/>
        <v>91</v>
      </c>
      <c r="B97" s="106">
        <f t="shared" si="16"/>
        <v>5</v>
      </c>
      <c r="C97" s="116" t="s">
        <v>347</v>
      </c>
      <c r="D97" s="163"/>
      <c r="E97" s="106" t="s">
        <v>319</v>
      </c>
      <c r="F97" s="106" t="s">
        <v>176</v>
      </c>
      <c r="G97" s="106" t="s">
        <v>224</v>
      </c>
      <c r="H97" s="175"/>
      <c r="I97" s="106"/>
      <c r="J97" s="106"/>
      <c r="K97" s="140" t="e">
        <f>(K96/1000)/H73</f>
        <v>#DIV/0!</v>
      </c>
      <c r="L97" s="106">
        <v>0</v>
      </c>
      <c r="M97" s="106">
        <v>0</v>
      </c>
      <c r="N97" s="106">
        <v>0</v>
      </c>
      <c r="O97" s="141"/>
    </row>
    <row r="98" spans="1:15" s="110" customFormat="1" x14ac:dyDescent="0.25">
      <c r="A98" s="166">
        <f t="shared" si="15"/>
        <v>92</v>
      </c>
      <c r="B98" s="106">
        <f t="shared" si="16"/>
        <v>5</v>
      </c>
      <c r="C98" s="174" t="s">
        <v>348</v>
      </c>
      <c r="D98" s="163" t="s">
        <v>349</v>
      </c>
      <c r="E98" s="106" t="s">
        <v>229</v>
      </c>
      <c r="F98" s="106" t="s">
        <v>176</v>
      </c>
      <c r="G98" s="106" t="s">
        <v>224</v>
      </c>
      <c r="H98" s="175">
        <v>0</v>
      </c>
      <c r="I98" s="106"/>
      <c r="J98" s="106"/>
      <c r="K98" s="133"/>
      <c r="L98" s="106">
        <f>IF(J72='Tipologia packaging primario'!A3,1,0)</f>
        <v>0</v>
      </c>
      <c r="M98" s="106">
        <f>IF(J72='Tipologia packaging primario'!A3,1,0)</f>
        <v>0</v>
      </c>
      <c r="N98" s="106">
        <f>IF(OR(K98&gt;=2000,K98&lt;=0),2,0)</f>
        <v>2</v>
      </c>
      <c r="O98" s="141" t="str">
        <f>IF(AND(N98=2,K98&gt;=2000),"Controlla il valore inserito perché risulta troppo elevato.",IF(AND(N98=2,K98&lt;=0),"Controlla il valore inserito: non è ammissibile un valore negativo o nullo.",))</f>
        <v>Controlla il valore inserito: non è ammissibile un valore negativo o nullo.</v>
      </c>
    </row>
    <row r="99" spans="1:15" s="110" customFormat="1" x14ac:dyDescent="0.25">
      <c r="A99" s="166">
        <f t="shared" si="15"/>
        <v>93</v>
      </c>
      <c r="B99" s="106">
        <f t="shared" si="16"/>
        <v>5</v>
      </c>
      <c r="C99" s="174" t="s">
        <v>350</v>
      </c>
      <c r="D99" s="163"/>
      <c r="E99" s="106" t="s">
        <v>319</v>
      </c>
      <c r="F99" s="106" t="s">
        <v>175</v>
      </c>
      <c r="G99" s="106" t="s">
        <v>224</v>
      </c>
      <c r="H99" s="106"/>
      <c r="I99" s="106"/>
      <c r="J99" s="106"/>
      <c r="K99" s="123" t="e">
        <f>SUM(K94,K97)*$K$17</f>
        <v>#DIV/0!</v>
      </c>
      <c r="L99" s="106">
        <v>0</v>
      </c>
      <c r="M99" s="106">
        <v>0</v>
      </c>
      <c r="N99" s="106">
        <v>0</v>
      </c>
      <c r="O99" s="141"/>
    </row>
    <row r="100" spans="1:15" s="110" customFormat="1" x14ac:dyDescent="0.25">
      <c r="A100" s="168">
        <f t="shared" si="15"/>
        <v>94</v>
      </c>
      <c r="B100" s="113">
        <f t="shared" si="16"/>
        <v>5</v>
      </c>
      <c r="C100" s="114" t="s">
        <v>351</v>
      </c>
      <c r="D100" s="149"/>
      <c r="E100" s="113" t="s">
        <v>230</v>
      </c>
      <c r="F100" s="113" t="s">
        <v>175</v>
      </c>
      <c r="G100" s="113" t="s">
        <v>224</v>
      </c>
      <c r="H100" s="113"/>
      <c r="I100" s="113"/>
      <c r="J100" s="113"/>
      <c r="K100" s="129" t="e">
        <f>(SUM(K93,K96)*$K$17/1000)*K98</f>
        <v>#DIV/0!</v>
      </c>
      <c r="L100" s="113">
        <v>0</v>
      </c>
      <c r="M100" s="113">
        <v>0</v>
      </c>
      <c r="N100" s="113">
        <v>0</v>
      </c>
      <c r="O100" s="114"/>
    </row>
    <row r="101" spans="1:15" x14ac:dyDescent="0.25">
      <c r="A101" s="192" t="s">
        <v>375</v>
      </c>
      <c r="B101" s="192"/>
      <c r="C101" s="192"/>
      <c r="D101" s="192"/>
      <c r="E101" s="192"/>
      <c r="F101" s="192"/>
      <c r="G101" s="192"/>
      <c r="H101" s="192"/>
      <c r="I101" s="192"/>
      <c r="J101" s="192"/>
      <c r="K101" s="192"/>
      <c r="L101" s="192"/>
      <c r="M101" s="192"/>
      <c r="N101" s="192"/>
      <c r="O101" s="192"/>
    </row>
    <row r="102" spans="1:15" ht="28.55" x14ac:dyDescent="0.25">
      <c r="A102" s="101">
        <f>A100+1</f>
        <v>95</v>
      </c>
      <c r="B102" s="101">
        <f>B100+1</f>
        <v>6</v>
      </c>
      <c r="C102" s="103" t="s">
        <v>415</v>
      </c>
      <c r="D102" s="150" t="s">
        <v>424</v>
      </c>
      <c r="G102" s="107" t="s">
        <v>374</v>
      </c>
      <c r="K102" s="107" t="s">
        <v>414</v>
      </c>
      <c r="L102" s="107">
        <v>1</v>
      </c>
    </row>
    <row r="103" spans="1:15" ht="42.8" x14ac:dyDescent="0.25">
      <c r="A103" s="101">
        <f>A102+1</f>
        <v>96</v>
      </c>
      <c r="B103" s="101">
        <f>B102</f>
        <v>6</v>
      </c>
      <c r="C103" s="103" t="s">
        <v>426</v>
      </c>
      <c r="D103" s="165" t="s">
        <v>428</v>
      </c>
      <c r="G103" s="107" t="s">
        <v>374</v>
      </c>
      <c r="K103" s="160" t="s">
        <v>427</v>
      </c>
      <c r="L103" s="107">
        <v>1</v>
      </c>
    </row>
    <row r="104" spans="1:15" ht="42.8" x14ac:dyDescent="0.25">
      <c r="A104" s="101">
        <f>A103+1</f>
        <v>97</v>
      </c>
      <c r="B104" s="101">
        <f>B103</f>
        <v>6</v>
      </c>
      <c r="C104" s="103" t="s">
        <v>438</v>
      </c>
      <c r="D104" s="150" t="s">
        <v>439</v>
      </c>
      <c r="G104" s="107" t="s">
        <v>374</v>
      </c>
      <c r="K104" s="160" t="s">
        <v>437</v>
      </c>
      <c r="L104" s="107">
        <v>1</v>
      </c>
    </row>
    <row r="105" spans="1:15" ht="28.55" x14ac:dyDescent="0.25">
      <c r="A105" s="101">
        <f>A104+1</f>
        <v>98</v>
      </c>
      <c r="B105" s="101">
        <f>B104</f>
        <v>6</v>
      </c>
      <c r="C105" s="103" t="s">
        <v>409</v>
      </c>
      <c r="D105" s="165" t="s">
        <v>410</v>
      </c>
      <c r="G105" s="107" t="s">
        <v>408</v>
      </c>
      <c r="L105" s="107">
        <v>1</v>
      </c>
    </row>
  </sheetData>
  <dataConsolidate/>
  <mergeCells count="6">
    <mergeCell ref="A18:O18"/>
    <mergeCell ref="A101:O101"/>
    <mergeCell ref="A67:O67"/>
    <mergeCell ref="A71:O71"/>
    <mergeCell ref="A2:O2"/>
    <mergeCell ref="A7:O7"/>
  </mergeCells>
  <pageMargins left="0.7" right="0.7" top="0.75" bottom="0.75" header="0.3" footer="0.3"/>
  <pageSetup paperSize="9" scale="37"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385B5-DF24-491D-BB1A-09D55A167529}">
  <sheetPr>
    <tabColor theme="7" tint="0.79998168889431442"/>
  </sheetPr>
  <dimension ref="A1:I9"/>
  <sheetViews>
    <sheetView tabSelected="1" workbookViewId="0">
      <selection activeCell="E22" sqref="E22"/>
    </sheetView>
  </sheetViews>
  <sheetFormatPr defaultColWidth="8.875" defaultRowHeight="14.3" x14ac:dyDescent="0.25"/>
  <cols>
    <col min="1" max="1" width="8.875" style="94" bestFit="1" customWidth="1"/>
    <col min="2" max="2" width="10.5" style="94" bestFit="1" customWidth="1"/>
    <col min="3" max="3" width="5.75" style="94" bestFit="1" customWidth="1"/>
    <col min="4" max="4" width="6.5" style="99" bestFit="1" customWidth="1"/>
    <col min="5" max="5" width="6.625" style="94" bestFit="1" customWidth="1"/>
    <col min="6" max="6" width="6.125" style="94" customWidth="1"/>
    <col min="7" max="16384" width="8.875" style="94"/>
  </cols>
  <sheetData>
    <row r="1" spans="1:9" x14ac:dyDescent="0.25">
      <c r="A1" s="95" t="s">
        <v>360</v>
      </c>
      <c r="B1" s="120" t="s">
        <v>383</v>
      </c>
      <c r="C1" s="120" t="s">
        <v>99</v>
      </c>
      <c r="D1" s="120" t="s">
        <v>203</v>
      </c>
      <c r="E1" s="120" t="s">
        <v>204</v>
      </c>
      <c r="G1" s="159"/>
      <c r="H1" s="99"/>
      <c r="I1" s="99"/>
    </row>
    <row r="2" spans="1:9" x14ac:dyDescent="0.25">
      <c r="A2" s="173" t="str">
        <f>B2</f>
        <v>Sede 1</v>
      </c>
      <c r="B2" s="99" t="s">
        <v>447</v>
      </c>
      <c r="C2" s="173" t="str">
        <f>A2</f>
        <v>Sede 1</v>
      </c>
      <c r="D2" s="98">
        <v>1</v>
      </c>
      <c r="E2" s="167">
        <v>1</v>
      </c>
    </row>
    <row r="3" spans="1:9" x14ac:dyDescent="0.25">
      <c r="A3" s="173" t="str">
        <f t="shared" ref="A3:A5" si="0">B3</f>
        <v>Sede 2</v>
      </c>
      <c r="B3" s="29" t="s">
        <v>448</v>
      </c>
      <c r="C3" s="173" t="str">
        <f t="shared" ref="C3:C5" si="1">A3</f>
        <v>Sede 2</v>
      </c>
      <c r="D3" s="98">
        <v>1</v>
      </c>
      <c r="E3" s="167">
        <v>1</v>
      </c>
    </row>
    <row r="4" spans="1:9" x14ac:dyDescent="0.25">
      <c r="A4" s="173" t="str">
        <f t="shared" si="0"/>
        <v>Sede 3</v>
      </c>
      <c r="B4" s="99" t="s">
        <v>449</v>
      </c>
      <c r="C4" s="173" t="str">
        <f t="shared" si="1"/>
        <v>Sede 3</v>
      </c>
      <c r="D4" s="98">
        <v>1</v>
      </c>
      <c r="E4" s="167">
        <v>1</v>
      </c>
    </row>
    <row r="5" spans="1:9" x14ac:dyDescent="0.25">
      <c r="A5" s="173" t="str">
        <f t="shared" si="0"/>
        <v>Sede 4</v>
      </c>
      <c r="B5" s="29" t="s">
        <v>450</v>
      </c>
      <c r="C5" s="173" t="str">
        <f t="shared" si="1"/>
        <v>Sede 4</v>
      </c>
      <c r="D5" s="98">
        <v>1</v>
      </c>
      <c r="E5" s="167">
        <v>1</v>
      </c>
    </row>
    <row r="6" spans="1:9" x14ac:dyDescent="0.25">
      <c r="A6" s="173"/>
      <c r="B6" s="29"/>
      <c r="C6" s="173"/>
      <c r="D6" s="98"/>
    </row>
    <row r="7" spans="1:9" x14ac:dyDescent="0.25">
      <c r="A7" s="93"/>
      <c r="B7" s="99"/>
      <c r="C7" s="98"/>
      <c r="D7" s="98"/>
    </row>
    <row r="8" spans="1:9" x14ac:dyDescent="0.25">
      <c r="C8" s="93"/>
      <c r="D8" s="98"/>
    </row>
    <row r="9" spans="1:9" x14ac:dyDescent="0.25">
      <c r="C9" s="93"/>
      <c r="D9" s="98"/>
    </row>
  </sheetData>
  <phoneticPr fontId="1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E691B-39C1-4983-A7AC-049BE6D5CC9D}">
  <sheetPr>
    <tabColor theme="7" tint="0.79998168889431442"/>
  </sheetPr>
  <dimension ref="A1:I6"/>
  <sheetViews>
    <sheetView workbookViewId="0">
      <selection activeCell="C27" sqref="C27"/>
    </sheetView>
  </sheetViews>
  <sheetFormatPr defaultColWidth="8.875" defaultRowHeight="14.3" x14ac:dyDescent="0.25"/>
  <cols>
    <col min="1" max="1" width="11.375" style="94" bestFit="1" customWidth="1"/>
    <col min="2" max="2" width="37.5" style="94" bestFit="1" customWidth="1"/>
    <col min="3" max="3" width="11.375" style="94" bestFit="1" customWidth="1"/>
    <col min="4" max="4" width="6.5" style="99" bestFit="1" customWidth="1"/>
    <col min="5" max="5" width="6.625" style="94" bestFit="1" customWidth="1"/>
    <col min="6" max="6" width="6.625" style="94" customWidth="1"/>
    <col min="7" max="16384" width="8.875" style="94"/>
  </cols>
  <sheetData>
    <row r="1" spans="1:9" x14ac:dyDescent="0.25">
      <c r="A1" s="95" t="s">
        <v>360</v>
      </c>
      <c r="B1" s="120" t="s">
        <v>364</v>
      </c>
      <c r="C1" s="120" t="s">
        <v>99</v>
      </c>
      <c r="D1" s="120" t="s">
        <v>203</v>
      </c>
      <c r="E1" s="120" t="s">
        <v>204</v>
      </c>
      <c r="F1" s="120"/>
      <c r="G1" s="170"/>
      <c r="H1" s="99"/>
      <c r="I1" s="99"/>
    </row>
    <row r="2" spans="1:9" x14ac:dyDescent="0.25">
      <c r="A2" s="93" t="s">
        <v>358</v>
      </c>
      <c r="B2" s="99" t="s">
        <v>190</v>
      </c>
      <c r="C2" s="98" t="str">
        <f>A2</f>
        <v>Tradizionale</v>
      </c>
      <c r="D2" s="98">
        <v>1</v>
      </c>
      <c r="E2" s="169">
        <v>1</v>
      </c>
      <c r="F2" s="169"/>
    </row>
    <row r="3" spans="1:9" x14ac:dyDescent="0.25">
      <c r="A3" s="93" t="s">
        <v>359</v>
      </c>
      <c r="B3" s="33" t="s">
        <v>191</v>
      </c>
      <c r="C3" s="98" t="str">
        <f t="shared" ref="C3:C4" si="0">A3</f>
        <v>Trentingrana</v>
      </c>
      <c r="D3" s="98">
        <v>1</v>
      </c>
      <c r="E3" s="169">
        <v>1</v>
      </c>
      <c r="F3" s="169"/>
    </row>
    <row r="4" spans="1:9" x14ac:dyDescent="0.25">
      <c r="A4" s="93" t="s">
        <v>183</v>
      </c>
      <c r="B4" s="99" t="s">
        <v>443</v>
      </c>
      <c r="C4" s="98" t="str">
        <f t="shared" si="0"/>
        <v>Biologico</v>
      </c>
      <c r="D4" s="98">
        <v>1</v>
      </c>
      <c r="E4" s="169">
        <v>1</v>
      </c>
      <c r="F4" s="169"/>
    </row>
    <row r="5" spans="1:9" x14ac:dyDescent="0.25">
      <c r="C5" s="93"/>
      <c r="D5" s="98"/>
    </row>
    <row r="6" spans="1:9" x14ac:dyDescent="0.25">
      <c r="C6" s="93"/>
      <c r="D6" s="98"/>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6CB84-9CB9-4948-B3A3-90C1C51342D0}">
  <sheetPr>
    <tabColor theme="7" tint="0.79998168889431442"/>
  </sheetPr>
  <dimension ref="A1:J101"/>
  <sheetViews>
    <sheetView zoomScaleNormal="100" workbookViewId="0">
      <selection activeCell="C27" sqref="C27"/>
    </sheetView>
  </sheetViews>
  <sheetFormatPr defaultColWidth="8.875" defaultRowHeight="14.3" x14ac:dyDescent="0.25"/>
  <cols>
    <col min="1" max="1" width="10.5" style="94" bestFit="1" customWidth="1"/>
    <col min="2" max="2" width="52.75" style="94" bestFit="1" customWidth="1"/>
    <col min="3" max="3" width="10.5" style="94" bestFit="1" customWidth="1"/>
    <col min="4" max="5" width="6.5" style="94" bestFit="1" customWidth="1"/>
    <col min="6" max="16384" width="8.875" style="94"/>
  </cols>
  <sheetData>
    <row r="1" spans="1:10" s="93" customFormat="1" x14ac:dyDescent="0.25">
      <c r="A1" s="95" t="s">
        <v>360</v>
      </c>
      <c r="B1" s="95" t="s">
        <v>356</v>
      </c>
      <c r="C1" s="95" t="s">
        <v>99</v>
      </c>
      <c r="D1" s="95" t="s">
        <v>203</v>
      </c>
      <c r="E1" s="95" t="s">
        <v>204</v>
      </c>
    </row>
    <row r="2" spans="1:10" x14ac:dyDescent="0.25">
      <c r="A2" s="93" t="s">
        <v>361</v>
      </c>
      <c r="B2" s="94" t="s">
        <v>181</v>
      </c>
      <c r="C2" s="93" t="str">
        <f>A2</f>
        <v>Rifiuto</v>
      </c>
      <c r="D2" s="98">
        <v>1</v>
      </c>
      <c r="E2" s="169">
        <v>1</v>
      </c>
      <c r="F2" s="99"/>
      <c r="G2" s="99"/>
      <c r="H2" s="99"/>
      <c r="I2" s="99"/>
      <c r="J2" s="99"/>
    </row>
    <row r="3" spans="1:10" x14ac:dyDescent="0.25">
      <c r="A3" s="93" t="s">
        <v>362</v>
      </c>
      <c r="B3" s="94" t="s">
        <v>196</v>
      </c>
      <c r="C3" s="93" t="str">
        <f>A3</f>
        <v>Coprodotto</v>
      </c>
      <c r="D3" s="98">
        <v>1</v>
      </c>
      <c r="E3" s="167">
        <v>1</v>
      </c>
    </row>
    <row r="5" spans="1:10" x14ac:dyDescent="0.25">
      <c r="B5" s="136"/>
    </row>
    <row r="6" spans="1:10" x14ac:dyDescent="0.25">
      <c r="D6" s="99"/>
    </row>
    <row r="7" spans="1:10" x14ac:dyDescent="0.25">
      <c r="D7" s="99"/>
    </row>
    <row r="9" spans="1:10" x14ac:dyDescent="0.25">
      <c r="B9" s="136"/>
    </row>
    <row r="23" spans="2:3" x14ac:dyDescent="0.25">
      <c r="B23" s="136"/>
    </row>
    <row r="28" spans="2:3" x14ac:dyDescent="0.25">
      <c r="B28" s="136"/>
    </row>
    <row r="31" spans="2:3" x14ac:dyDescent="0.25">
      <c r="B31" s="99"/>
      <c r="C31" s="33"/>
    </row>
    <row r="32" spans="2:3" x14ac:dyDescent="0.25">
      <c r="B32" s="135"/>
      <c r="C32" s="33"/>
    </row>
    <row r="33" spans="2:3" x14ac:dyDescent="0.25">
      <c r="B33" s="99"/>
      <c r="C33" s="33"/>
    </row>
    <row r="34" spans="2:3" x14ac:dyDescent="0.25">
      <c r="B34" s="33"/>
      <c r="C34" s="33"/>
    </row>
    <row r="35" spans="2:3" x14ac:dyDescent="0.25">
      <c r="B35" s="99"/>
    </row>
    <row r="36" spans="2:3" x14ac:dyDescent="0.25">
      <c r="B36" s="99"/>
    </row>
    <row r="37" spans="2:3" x14ac:dyDescent="0.25">
      <c r="B37" s="33"/>
    </row>
    <row r="38" spans="2:3" x14ac:dyDescent="0.25">
      <c r="B38" s="99"/>
    </row>
    <row r="39" spans="2:3" x14ac:dyDescent="0.25">
      <c r="B39" s="99"/>
      <c r="C39" s="33"/>
    </row>
    <row r="40" spans="2:3" x14ac:dyDescent="0.25">
      <c r="B40" s="135"/>
      <c r="C40" s="33"/>
    </row>
    <row r="41" spans="2:3" x14ac:dyDescent="0.25">
      <c r="B41" s="99"/>
      <c r="C41" s="33"/>
    </row>
    <row r="42" spans="2:3" x14ac:dyDescent="0.25">
      <c r="B42" s="99"/>
      <c r="C42" s="33"/>
    </row>
    <row r="43" spans="2:3" x14ac:dyDescent="0.25">
      <c r="B43" s="99"/>
      <c r="C43" s="33"/>
    </row>
    <row r="44" spans="2:3" x14ac:dyDescent="0.25">
      <c r="B44" s="99"/>
      <c r="C44" s="33"/>
    </row>
    <row r="45" spans="2:3" x14ac:dyDescent="0.25">
      <c r="B45" s="99"/>
      <c r="C45" s="33"/>
    </row>
    <row r="46" spans="2:3" x14ac:dyDescent="0.25">
      <c r="B46" s="99"/>
      <c r="C46" s="33"/>
    </row>
    <row r="47" spans="2:3" x14ac:dyDescent="0.25">
      <c r="B47" s="136"/>
      <c r="C47" s="33"/>
    </row>
    <row r="48" spans="2:3" x14ac:dyDescent="0.25">
      <c r="B48" s="99"/>
      <c r="C48" s="33"/>
    </row>
    <row r="49" spans="2:3" x14ac:dyDescent="0.25">
      <c r="B49" s="99"/>
      <c r="C49" s="33"/>
    </row>
    <row r="50" spans="2:3" x14ac:dyDescent="0.25">
      <c r="B50" s="99"/>
      <c r="C50" s="33"/>
    </row>
    <row r="51" spans="2:3" x14ac:dyDescent="0.25">
      <c r="B51" s="135"/>
      <c r="C51" s="33"/>
    </row>
    <row r="52" spans="2:3" x14ac:dyDescent="0.25">
      <c r="B52" s="99"/>
      <c r="C52" s="33"/>
    </row>
    <row r="53" spans="2:3" x14ac:dyDescent="0.25">
      <c r="B53" s="99"/>
      <c r="C53" s="33"/>
    </row>
    <row r="54" spans="2:3" x14ac:dyDescent="0.25">
      <c r="B54" s="99"/>
      <c r="C54" s="33"/>
    </row>
    <row r="55" spans="2:3" x14ac:dyDescent="0.25">
      <c r="B55" s="135"/>
      <c r="C55" s="33"/>
    </row>
    <row r="56" spans="2:3" x14ac:dyDescent="0.25">
      <c r="B56" s="99"/>
      <c r="C56" s="33"/>
    </row>
    <row r="57" spans="2:3" x14ac:dyDescent="0.25">
      <c r="B57" s="99"/>
    </row>
    <row r="58" spans="2:3" x14ac:dyDescent="0.25">
      <c r="B58" s="99"/>
    </row>
    <row r="59" spans="2:3" x14ac:dyDescent="0.25">
      <c r="B59" s="99"/>
    </row>
    <row r="60" spans="2:3" x14ac:dyDescent="0.25">
      <c r="B60" s="99"/>
    </row>
    <row r="62" spans="2:3" x14ac:dyDescent="0.25">
      <c r="B62" s="136"/>
    </row>
    <row r="66" spans="2:2" x14ac:dyDescent="0.25">
      <c r="B66" s="99"/>
    </row>
    <row r="67" spans="2:2" x14ac:dyDescent="0.25">
      <c r="B67" s="99"/>
    </row>
    <row r="68" spans="2:2" x14ac:dyDescent="0.25">
      <c r="B68" s="99"/>
    </row>
    <row r="69" spans="2:2" x14ac:dyDescent="0.25">
      <c r="B69" s="99"/>
    </row>
    <row r="70" spans="2:2" x14ac:dyDescent="0.25">
      <c r="B70" s="99"/>
    </row>
    <row r="71" spans="2:2" x14ac:dyDescent="0.25">
      <c r="B71" s="135"/>
    </row>
    <row r="72" spans="2:2" x14ac:dyDescent="0.25">
      <c r="B72" s="99"/>
    </row>
    <row r="73" spans="2:2" x14ac:dyDescent="0.25">
      <c r="B73" s="99"/>
    </row>
    <row r="74" spans="2:2" x14ac:dyDescent="0.25">
      <c r="B74" s="99"/>
    </row>
    <row r="75" spans="2:2" x14ac:dyDescent="0.25">
      <c r="B75" s="99"/>
    </row>
    <row r="76" spans="2:2" x14ac:dyDescent="0.25">
      <c r="B76" s="99"/>
    </row>
    <row r="77" spans="2:2" x14ac:dyDescent="0.25">
      <c r="B77" s="99"/>
    </row>
    <row r="78" spans="2:2" x14ac:dyDescent="0.25">
      <c r="B78" s="99"/>
    </row>
    <row r="79" spans="2:2" x14ac:dyDescent="0.25">
      <c r="B79" s="99"/>
    </row>
    <row r="80" spans="2:2" x14ac:dyDescent="0.25">
      <c r="B80" s="135"/>
    </row>
    <row r="81" spans="2:2" x14ac:dyDescent="0.25">
      <c r="B81" s="99"/>
    </row>
    <row r="84" spans="2:2" x14ac:dyDescent="0.25">
      <c r="B84" s="136"/>
    </row>
    <row r="88" spans="2:2" s="99" customFormat="1" x14ac:dyDescent="0.25">
      <c r="B88" s="135"/>
    </row>
    <row r="92" spans="2:2" x14ac:dyDescent="0.25">
      <c r="B92" s="136"/>
    </row>
    <row r="96" spans="2:2" x14ac:dyDescent="0.25">
      <c r="B96" s="136"/>
    </row>
    <row r="97" spans="2:2" x14ac:dyDescent="0.25">
      <c r="B97" s="100"/>
    </row>
    <row r="98" spans="2:2" x14ac:dyDescent="0.25">
      <c r="B98" s="100"/>
    </row>
    <row r="99" spans="2:2" x14ac:dyDescent="0.25">
      <c r="B99" s="100"/>
    </row>
    <row r="100" spans="2:2" x14ac:dyDescent="0.25">
      <c r="B100" s="100"/>
    </row>
    <row r="101" spans="2:2" x14ac:dyDescent="0.25">
      <c r="B101" s="10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C1CFD-DE24-4EA9-B840-AB4F00C88A22}">
  <sheetPr>
    <tabColor theme="7" tint="0.79998168889431442"/>
  </sheetPr>
  <dimension ref="A1:E7"/>
  <sheetViews>
    <sheetView workbookViewId="0">
      <selection activeCell="C27" sqref="C27"/>
    </sheetView>
  </sheetViews>
  <sheetFormatPr defaultColWidth="8.875" defaultRowHeight="14.3" x14ac:dyDescent="0.25"/>
  <cols>
    <col min="1" max="1" width="8.875" style="94" bestFit="1" customWidth="1"/>
    <col min="2" max="2" width="29.75" style="94" bestFit="1" customWidth="1"/>
    <col min="3" max="3" width="6.125" style="94" bestFit="1" customWidth="1"/>
    <col min="4" max="4" width="6.5" style="94" bestFit="1" customWidth="1"/>
    <col min="5" max="16384" width="8.875" style="94"/>
  </cols>
  <sheetData>
    <row r="1" spans="1:5" s="93" customFormat="1" x14ac:dyDescent="0.25">
      <c r="A1" s="121" t="s">
        <v>360</v>
      </c>
      <c r="B1" s="121" t="s">
        <v>373</v>
      </c>
      <c r="C1" s="95" t="s">
        <v>99</v>
      </c>
      <c r="D1" s="95" t="s">
        <v>203</v>
      </c>
      <c r="E1" s="95" t="s">
        <v>204</v>
      </c>
    </row>
    <row r="2" spans="1:5" s="93" customFormat="1" x14ac:dyDescent="0.25">
      <c r="A2" s="111" t="s">
        <v>405</v>
      </c>
      <c r="B2" s="115" t="s">
        <v>406</v>
      </c>
      <c r="C2" s="93">
        <v>1</v>
      </c>
      <c r="D2" s="137">
        <v>1</v>
      </c>
      <c r="E2" s="167">
        <v>1</v>
      </c>
    </row>
    <row r="3" spans="1:5" x14ac:dyDescent="0.25">
      <c r="A3" s="119" t="s">
        <v>171</v>
      </c>
      <c r="B3" s="139" t="s">
        <v>171</v>
      </c>
      <c r="C3" s="93">
        <v>2</v>
      </c>
      <c r="D3" s="93">
        <v>1</v>
      </c>
      <c r="E3" s="167">
        <v>1</v>
      </c>
    </row>
    <row r="4" spans="1:5" x14ac:dyDescent="0.25">
      <c r="A4" s="119" t="s">
        <v>172</v>
      </c>
      <c r="B4" s="139" t="s">
        <v>172</v>
      </c>
      <c r="C4" s="93">
        <v>4</v>
      </c>
      <c r="D4" s="93">
        <v>1</v>
      </c>
      <c r="E4" s="167">
        <v>1</v>
      </c>
    </row>
    <row r="5" spans="1:5" x14ac:dyDescent="0.25">
      <c r="A5" s="119" t="s">
        <v>173</v>
      </c>
      <c r="B5" s="139" t="s">
        <v>173</v>
      </c>
      <c r="C5" s="93">
        <v>8</v>
      </c>
      <c r="D5" s="93">
        <v>1</v>
      </c>
      <c r="E5" s="167">
        <v>1</v>
      </c>
    </row>
    <row r="6" spans="1:5" x14ac:dyDescent="0.25">
      <c r="A6" s="119" t="s">
        <v>174</v>
      </c>
      <c r="B6" s="139" t="s">
        <v>174</v>
      </c>
      <c r="C6" s="93">
        <v>16</v>
      </c>
      <c r="D6" s="93">
        <v>1</v>
      </c>
      <c r="E6" s="167">
        <v>1</v>
      </c>
    </row>
    <row r="7" spans="1:5" x14ac:dyDescent="0.25">
      <c r="A7" s="119" t="s">
        <v>404</v>
      </c>
      <c r="B7" s="139" t="s">
        <v>243</v>
      </c>
      <c r="C7" s="93">
        <v>128</v>
      </c>
      <c r="D7" s="93">
        <v>1</v>
      </c>
      <c r="E7" s="167">
        <v>1</v>
      </c>
    </row>
  </sheetData>
  <pageMargins left="0.7" right="0.7" top="0.75" bottom="0.75" header="0.3" footer="0.3"/>
  <pageSetup paperSize="9"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2D1E4-C68C-463B-A93D-F891A2B271B4}">
  <sheetPr>
    <tabColor theme="7" tint="0.79998168889431442"/>
  </sheetPr>
  <dimension ref="A1:S6"/>
  <sheetViews>
    <sheetView workbookViewId="0">
      <selection activeCell="C27" sqref="C27"/>
    </sheetView>
  </sheetViews>
  <sheetFormatPr defaultColWidth="8.875" defaultRowHeight="14.3" x14ac:dyDescent="0.25"/>
  <cols>
    <col min="1" max="1" width="12.25" style="94" bestFit="1" customWidth="1"/>
    <col min="2" max="2" width="22.75" style="94" bestFit="1" customWidth="1"/>
    <col min="3" max="3" width="12.25" style="94" bestFit="1" customWidth="1"/>
    <col min="4" max="4" width="6.5" style="94" bestFit="1" customWidth="1"/>
    <col min="5" max="5" width="6.625" style="94" bestFit="1" customWidth="1"/>
    <col min="6" max="16384" width="8.875" style="94"/>
  </cols>
  <sheetData>
    <row r="1" spans="1:19" s="93" customFormat="1" x14ac:dyDescent="0.25">
      <c r="A1" s="121" t="s">
        <v>360</v>
      </c>
      <c r="B1" s="120" t="s">
        <v>366</v>
      </c>
      <c r="C1" s="95" t="s">
        <v>99</v>
      </c>
      <c r="D1" s="95" t="s">
        <v>203</v>
      </c>
      <c r="E1" s="95" t="s">
        <v>204</v>
      </c>
      <c r="G1" s="170"/>
      <c r="H1" s="173"/>
      <c r="I1" s="173"/>
      <c r="J1" s="173"/>
      <c r="K1" s="173"/>
      <c r="L1" s="98"/>
      <c r="M1" s="98"/>
      <c r="N1" s="98"/>
      <c r="O1" s="98"/>
      <c r="P1" s="98"/>
      <c r="Q1" s="98"/>
      <c r="R1" s="98"/>
      <c r="S1" s="98"/>
    </row>
    <row r="2" spans="1:19" x14ac:dyDescent="0.25">
      <c r="A2" s="93" t="s">
        <v>194</v>
      </c>
      <c r="B2" s="99" t="s">
        <v>194</v>
      </c>
      <c r="C2" s="93" t="str">
        <f>A2</f>
        <v>Porzionato</v>
      </c>
      <c r="D2" s="93">
        <v>1</v>
      </c>
      <c r="E2" s="167">
        <v>1</v>
      </c>
    </row>
    <row r="3" spans="1:19" x14ac:dyDescent="0.25">
      <c r="A3" s="96" t="s">
        <v>180</v>
      </c>
      <c r="B3" s="92" t="s">
        <v>180</v>
      </c>
      <c r="C3" s="93" t="str">
        <f t="shared" ref="C3:C6" si="0">A3</f>
        <v>Grattugiato</v>
      </c>
      <c r="D3" s="93">
        <v>1</v>
      </c>
      <c r="E3" s="167">
        <v>1</v>
      </c>
      <c r="N3" s="99"/>
    </row>
    <row r="4" spans="1:19" x14ac:dyDescent="0.25">
      <c r="A4" s="96" t="s">
        <v>367</v>
      </c>
      <c r="B4" s="92" t="s">
        <v>188</v>
      </c>
      <c r="C4" s="93" t="str">
        <f t="shared" si="0"/>
        <v>Scaglie</v>
      </c>
      <c r="D4" s="93">
        <v>1</v>
      </c>
      <c r="E4" s="167">
        <v>1</v>
      </c>
    </row>
    <row r="5" spans="1:19" x14ac:dyDescent="0.25">
      <c r="A5" s="96" t="s">
        <v>368</v>
      </c>
      <c r="B5" s="92" t="s">
        <v>189</v>
      </c>
      <c r="C5" s="93" t="str">
        <f t="shared" si="0"/>
        <v>Cubetti</v>
      </c>
      <c r="D5" s="93">
        <v>1</v>
      </c>
      <c r="E5" s="167">
        <v>1</v>
      </c>
    </row>
    <row r="6" spans="1:19" x14ac:dyDescent="0.25">
      <c r="A6" s="96" t="s">
        <v>370</v>
      </c>
      <c r="B6" s="92" t="s">
        <v>353</v>
      </c>
      <c r="C6" s="93" t="str">
        <f t="shared" si="0"/>
        <v>Altro_formato</v>
      </c>
      <c r="D6" s="93">
        <v>1</v>
      </c>
      <c r="E6" s="167">
        <v>1</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60480-0C4F-4D53-87DD-01EFB6E85D42}">
  <sheetPr>
    <tabColor theme="7" tint="0.79998168889431442"/>
  </sheetPr>
  <dimension ref="A1:O6"/>
  <sheetViews>
    <sheetView workbookViewId="0">
      <selection activeCell="C27" sqref="C27"/>
    </sheetView>
  </sheetViews>
  <sheetFormatPr defaultColWidth="8.875" defaultRowHeight="14.3" x14ac:dyDescent="0.25"/>
  <cols>
    <col min="1" max="1" width="22.25" style="94" bestFit="1" customWidth="1"/>
    <col min="2" max="2" width="27.625" style="94" bestFit="1" customWidth="1"/>
    <col min="3" max="3" width="22.25" style="94" bestFit="1" customWidth="1"/>
    <col min="4" max="4" width="6.5" style="94" bestFit="1" customWidth="1"/>
    <col min="5" max="5" width="6.375" style="94" customWidth="1"/>
    <col min="6" max="6" width="5.5" style="94" customWidth="1"/>
    <col min="7" max="16384" width="8.875" style="94"/>
  </cols>
  <sheetData>
    <row r="1" spans="1:15" x14ac:dyDescent="0.25">
      <c r="A1" s="121" t="s">
        <v>360</v>
      </c>
      <c r="B1" s="135" t="s">
        <v>184</v>
      </c>
      <c r="C1" s="95" t="s">
        <v>99</v>
      </c>
      <c r="D1" s="95" t="s">
        <v>203</v>
      </c>
      <c r="E1" s="95" t="s">
        <v>204</v>
      </c>
      <c r="G1" s="170"/>
      <c r="H1" s="99"/>
      <c r="I1" s="99"/>
      <c r="J1" s="99"/>
      <c r="K1" s="99"/>
      <c r="L1" s="99"/>
      <c r="M1" s="99"/>
      <c r="N1" s="99"/>
      <c r="O1" s="99"/>
    </row>
    <row r="2" spans="1:15" x14ac:dyDescent="0.25">
      <c r="A2" s="94" t="s">
        <v>185</v>
      </c>
      <c r="B2" s="99" t="s">
        <v>185</v>
      </c>
      <c r="C2" s="94" t="str">
        <f>A2</f>
        <v>Film</v>
      </c>
      <c r="D2" s="171">
        <v>1</v>
      </c>
      <c r="E2" s="98">
        <f>IF(OR(Template!K68='Formato di Grana Padano'!C2,Template!K68='Formato di Grana Padano'!C6),1,0)</f>
        <v>0</v>
      </c>
      <c r="G2" s="170"/>
      <c r="H2" s="99"/>
      <c r="I2" s="99"/>
      <c r="J2" s="99"/>
      <c r="K2" s="99"/>
      <c r="L2" s="99"/>
      <c r="M2" s="99"/>
    </row>
    <row r="3" spans="1:15" x14ac:dyDescent="0.25">
      <c r="A3" s="99" t="s">
        <v>187</v>
      </c>
      <c r="B3" s="99" t="s">
        <v>187</v>
      </c>
      <c r="C3" s="94" t="str">
        <f t="shared" ref="C3:C5" si="0">A3</f>
        <v>Vaschetta</v>
      </c>
      <c r="D3" s="171">
        <v>1</v>
      </c>
      <c r="E3" s="98">
        <v>1</v>
      </c>
    </row>
    <row r="4" spans="1:15" x14ac:dyDescent="0.25">
      <c r="A4" s="99" t="s">
        <v>372</v>
      </c>
      <c r="B4" s="99" t="s">
        <v>378</v>
      </c>
      <c r="C4" s="94" t="str">
        <f t="shared" si="0"/>
        <v>Busta_zip</v>
      </c>
      <c r="D4" s="171">
        <v>1</v>
      </c>
      <c r="E4" s="98">
        <f>IF(OR(Template!K68='Formato di Grana Padano'!C3,Template!K68='Formato di Grana Padano'!C4,Template!K68='Formato di Grana Padano'!C5,Template!K68='Formato di Grana Padano'!C6),1,0)</f>
        <v>0</v>
      </c>
    </row>
    <row r="5" spans="1:15" x14ac:dyDescent="0.25">
      <c r="A5" s="99" t="s">
        <v>371</v>
      </c>
      <c r="B5" s="99" t="s">
        <v>355</v>
      </c>
      <c r="C5" s="94" t="str">
        <f t="shared" si="0"/>
        <v>Altro_packaging_primario</v>
      </c>
      <c r="D5" s="171">
        <v>1</v>
      </c>
      <c r="E5" s="98">
        <v>1</v>
      </c>
    </row>
    <row r="6" spans="1:15" x14ac:dyDescent="0.25">
      <c r="D6" s="93"/>
      <c r="E6" s="167"/>
    </row>
  </sheetData>
  <pageMargins left="0.7" right="0.7" top="0.75" bottom="0.75" header="0.3" footer="0.3"/>
  <pageSetup paperSize="9" orientation="portrait"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14</vt:i4>
      </vt:variant>
      <vt:variant>
        <vt:lpstr>Intervalli denominati</vt:lpstr>
      </vt:variant>
      <vt:variant>
        <vt:i4>1</vt:i4>
      </vt:variant>
    </vt:vector>
  </HeadingPairs>
  <TitlesOfParts>
    <vt:vector size="15" baseType="lpstr">
      <vt:lpstr>1 kg GP</vt:lpstr>
      <vt:lpstr>Read me</vt:lpstr>
      <vt:lpstr>Template</vt:lpstr>
      <vt:lpstr>Sede valutazione</vt:lpstr>
      <vt:lpstr>Tipologia GP</vt:lpstr>
      <vt:lpstr>Destino scarto alimentare</vt:lpstr>
      <vt:lpstr>Gas refrigeranti</vt:lpstr>
      <vt:lpstr>Formato di Grana Padano</vt:lpstr>
      <vt:lpstr>Tipologia packaging primario</vt:lpstr>
      <vt:lpstr>Tabella a.d.</vt:lpstr>
      <vt:lpstr>Ciambella confezionamento</vt:lpstr>
      <vt:lpstr>Bar ciclo vita</vt:lpstr>
      <vt:lpstr>Allocations</vt:lpstr>
      <vt:lpstr>LCI</vt:lpstr>
      <vt:lpstr>Template!Area_stampa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Jacopo</dc:creator>
  <cp:lastModifiedBy>Pieter Ravaglia</cp:lastModifiedBy>
  <cp:lastPrinted>2017-11-15T14:47:09Z</cp:lastPrinted>
  <dcterms:created xsi:type="dcterms:W3CDTF">2016-10-17T10:46:05Z</dcterms:created>
  <dcterms:modified xsi:type="dcterms:W3CDTF">2021-04-01T09:38:38Z</dcterms:modified>
</cp:coreProperties>
</file>